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780JsDftLLQzxuasJ8X8T49IYhfDyCuOVayLvv9V+T8ymiKHGM9IsP0pRM0EW5icvFdRkyI+rSavQpjKrwjs6Q==" workbookSaltValue="/TV/+MToT3ILGaR552CK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D17" i="2"/>
  <c r="T13" i="20"/>
  <c r="BG12" i="8"/>
  <c r="T13" i="16"/>
  <c r="AP13" i="16"/>
  <c r="F15" i="16"/>
  <c r="BL15" i="16" s="1"/>
  <c r="BF15" i="13"/>
  <c r="BA18" i="13"/>
  <c r="G18" i="14"/>
  <c r="AO20" i="20"/>
  <c r="AN20" i="20"/>
  <c r="H20" i="20"/>
  <c r="AM20" i="20"/>
  <c r="E20" i="20"/>
  <c r="I20" i="20"/>
  <c r="K20" i="20"/>
  <c r="P20" i="20"/>
  <c r="N20" i="20"/>
  <c r="AQ20" i="20"/>
  <c r="U12" i="11"/>
  <c r="W20" i="20"/>
  <c r="L20" i="20"/>
  <c r="AI20" i="20"/>
  <c r="AF20" i="20"/>
  <c r="AX20" i="20"/>
  <c r="AZ20" i="20"/>
  <c r="AG20" i="20"/>
  <c r="AC20" i="20"/>
  <c r="Q20" i="20"/>
  <c r="U10" i="11"/>
  <c r="Z20" i="20"/>
  <c r="AA20" i="20"/>
  <c r="M20" i="20"/>
  <c r="F20" i="20"/>
  <c r="O20" i="20"/>
  <c r="AU20" i="20"/>
  <c r="W20" i="21"/>
  <c r="X20" i="20"/>
  <c r="AH20" i="20"/>
  <c r="AK20" i="20"/>
  <c r="AQ20" i="21"/>
  <c r="U16" i="11"/>
  <c r="AM19" i="8" l="1"/>
  <c r="AC19" i="8"/>
  <c r="F17" i="17"/>
  <c r="AQ17" i="17" s="1"/>
  <c r="AK19" i="8"/>
  <c r="AA19" i="8"/>
  <c r="AI19" i="8"/>
  <c r="D18" i="12"/>
  <c r="AE13" i="17"/>
  <c r="BG10" i="8"/>
  <c r="R19" i="8"/>
  <c r="T19" i="8"/>
  <c r="H9" i="7"/>
  <c r="BG9" i="8"/>
  <c r="BE9" i="8"/>
  <c r="I9" i="7" s="1"/>
  <c r="BE12" i="8"/>
  <c r="R8" i="9"/>
  <c r="AY13" i="13"/>
  <c r="F17" i="16"/>
  <c r="BL17" i="16" s="1"/>
  <c r="BG16" i="13"/>
  <c r="BD16" i="13"/>
  <c r="BE15" i="13"/>
  <c r="BE16" i="13"/>
  <c r="E12" i="6"/>
  <c r="V9" i="16"/>
  <c r="BK10" i="11"/>
  <c r="R11" i="14"/>
  <c r="AA15" i="16"/>
  <c r="BV15" i="16"/>
  <c r="BL17" i="11"/>
  <c r="T17" i="11"/>
  <c r="BH15" i="11"/>
  <c r="BF17" i="11"/>
  <c r="X11" i="17"/>
  <c r="BI10" i="11"/>
  <c r="BJ15" i="11"/>
  <c r="R17" i="20"/>
  <c r="R18" i="20" s="1"/>
  <c r="BU11" i="17"/>
  <c r="BW12" i="20"/>
  <c r="BW10" i="20"/>
  <c r="AZ16" i="11"/>
  <c r="Q17" i="17"/>
  <c r="T12" i="11"/>
  <c r="BM17" i="11"/>
  <c r="BJ16" i="11"/>
  <c r="X10" i="21"/>
  <c r="BH17" i="16"/>
  <c r="BK12" i="11"/>
  <c r="BM12" i="11"/>
  <c r="R10" i="21"/>
  <c r="R13" i="21" s="1"/>
  <c r="BH17" i="11"/>
  <c r="S12" i="14"/>
  <c r="V12" i="14" s="1"/>
  <c r="S11" i="14"/>
  <c r="V11" i="14" s="1"/>
  <c r="T17" i="20"/>
  <c r="AA12" i="21"/>
  <c r="V15" i="20"/>
  <c r="V18" i="20" s="1"/>
  <c r="S17" i="14"/>
  <c r="V17" i="14" s="1"/>
  <c r="S15" i="14"/>
  <c r="V15" i="14" s="1"/>
  <c r="AQ13" i="21"/>
  <c r="S11" i="17"/>
  <c r="L10" i="2"/>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I12" i="12" s="1"/>
  <c r="B10" i="6"/>
  <c r="I10" i="7"/>
  <c r="D10" i="2"/>
  <c r="E10" i="6"/>
  <c r="K10" i="12" s="1"/>
  <c r="AO15" i="11"/>
  <c r="E15" i="6"/>
  <c r="K15" i="12" s="1"/>
  <c r="F15" i="2"/>
  <c r="B17" i="6"/>
  <c r="B15" i="6"/>
  <c r="H15" i="2"/>
  <c r="L15" i="14"/>
  <c r="I15" i="7"/>
  <c r="J15" i="2"/>
  <c r="AN10" i="11"/>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9" i="12" l="1"/>
  <c r="BV16" i="16"/>
  <c r="BW17" i="20"/>
  <c r="BW15" i="20"/>
  <c r="BU16" i="17"/>
  <c r="X15" i="17"/>
  <c r="BF12" i="11"/>
  <c r="Q12" i="11" s="1"/>
  <c r="BJ10" i="11"/>
  <c r="S17" i="17"/>
  <c r="V10" i="16"/>
  <c r="BW16" i="20"/>
  <c r="BV10" i="16"/>
  <c r="AA17" i="16"/>
  <c r="S15" i="16"/>
  <c r="BL10" i="11"/>
  <c r="BH11" i="11"/>
  <c r="BH12" i="16"/>
  <c r="L17" i="2"/>
  <c r="AA9" i="16"/>
  <c r="L15" i="2"/>
  <c r="BM9" i="11"/>
  <c r="BK16" i="11"/>
  <c r="BL15" i="11"/>
  <c r="Q15" i="11" s="1"/>
  <c r="T16" i="11"/>
  <c r="BV9" i="16"/>
  <c r="BV13" i="16" s="1"/>
  <c r="BU9" i="17"/>
  <c r="X12" i="21"/>
  <c r="X19" i="21" s="1"/>
  <c r="BH11" i="16"/>
  <c r="BK15" i="11"/>
  <c r="BK18" i="11" s="1"/>
  <c r="BU15" i="17"/>
  <c r="BH9" i="16"/>
  <c r="BJ17" i="11"/>
  <c r="BJ18" i="11" s="1"/>
  <c r="BH15" i="16"/>
  <c r="V11" i="16"/>
  <c r="BF16" i="11"/>
  <c r="P16" i="11" s="1"/>
  <c r="BL12" i="11"/>
  <c r="V17" i="16"/>
  <c r="V11" i="11"/>
  <c r="Q10" i="21"/>
  <c r="Q13" i="21" s="1"/>
  <c r="Q19" i="21" s="1"/>
  <c r="BI15" i="11"/>
  <c r="BJ12" i="11"/>
  <c r="BG15" i="11"/>
  <c r="BK17" i="11"/>
  <c r="T15" i="16"/>
  <c r="BV17" i="16"/>
  <c r="BV18" i="16" s="1"/>
  <c r="BV12" i="16"/>
  <c r="BV11" i="16"/>
  <c r="U10" i="17"/>
  <c r="V12" i="16"/>
  <c r="AA16" i="16"/>
  <c r="AZ12" i="11"/>
  <c r="BG12" i="11"/>
  <c r="BH10" i="11"/>
  <c r="AQ10" i="21"/>
  <c r="S10" i="17"/>
  <c r="Q15" i="17"/>
  <c r="BF15" i="11"/>
  <c r="AQ12" i="21"/>
  <c r="BL16" i="11"/>
  <c r="L12" i="2"/>
  <c r="AA11" i="16"/>
  <c r="BL9" i="11"/>
  <c r="BG10" i="11"/>
  <c r="P17" i="17"/>
  <c r="BF10" i="11"/>
  <c r="Q10" i="11" s="1"/>
  <c r="X9" i="17"/>
  <c r="BH9" i="11"/>
  <c r="BJ11" i="11"/>
  <c r="BI17" i="11"/>
  <c r="BL11" i="11"/>
  <c r="BM15" i="11"/>
  <c r="BW9" i="20"/>
  <c r="S16" i="14"/>
  <c r="V16" i="14" s="1"/>
  <c r="T11" i="11"/>
  <c r="X16" i="17"/>
  <c r="X17" i="17"/>
  <c r="X17" i="20"/>
  <c r="V12" i="21"/>
  <c r="X16" i="20"/>
  <c r="X9" i="16"/>
  <c r="X19" i="16" s="1"/>
  <c r="BF11" i="11"/>
  <c r="S10" i="14"/>
  <c r="V10" i="14" s="1"/>
  <c r="R10" i="14"/>
  <c r="R16" i="14"/>
  <c r="T15" i="11"/>
  <c r="X12" i="17"/>
  <c r="AP18" i="20"/>
  <c r="S9" i="17"/>
  <c r="AZ9" i="11"/>
  <c r="AZ17" i="11"/>
  <c r="U9" i="17"/>
  <c r="U19" i="17" s="1"/>
  <c r="S16" i="17"/>
  <c r="AO9" i="17"/>
  <c r="AO10" i="17"/>
  <c r="AO17" i="17"/>
  <c r="AP13" i="20"/>
  <c r="AM12" i="11"/>
  <c r="AO12" i="17"/>
  <c r="AM15" i="11"/>
  <c r="AO15" i="17"/>
  <c r="X13" i="20"/>
  <c r="AM16" i="11"/>
  <c r="X12" i="16"/>
  <c r="AZ15" i="11"/>
  <c r="AZ18" i="11" s="1"/>
  <c r="V15" i="16"/>
  <c r="AA10" i="16"/>
  <c r="R12" i="14"/>
  <c r="T9" i="11"/>
  <c r="L11" i="2"/>
  <c r="U10" i="21"/>
  <c r="X10" i="17"/>
  <c r="R17" i="14"/>
  <c r="AP17" i="20"/>
  <c r="BG9" i="11"/>
  <c r="V9" i="11"/>
  <c r="BK9" i="11"/>
  <c r="BM16" i="11"/>
  <c r="L9" i="2"/>
  <c r="S15" i="17"/>
  <c r="BH16" i="11"/>
  <c r="BH10" i="16"/>
  <c r="BI9" i="11"/>
  <c r="AZ11" i="11"/>
  <c r="BU12" i="17"/>
  <c r="BW11" i="20"/>
  <c r="BW21" i="20" s="1"/>
  <c r="BU10" i="17"/>
  <c r="T17" i="16"/>
  <c r="T18" i="16" s="1"/>
  <c r="AP15" i="20"/>
  <c r="S9" i="14"/>
  <c r="V9" i="14" s="1"/>
  <c r="BK11" i="11"/>
  <c r="S17" i="16"/>
  <c r="Q17" i="20"/>
  <c r="Q18" i="20" s="1"/>
  <c r="V15" i="11"/>
  <c r="AP10" i="21"/>
  <c r="AP16" i="20"/>
  <c r="BU17" i="17"/>
  <c r="P15" i="17"/>
  <c r="P18" i="17" s="1"/>
  <c r="P19" i="17" s="1"/>
  <c r="BG16" i="11"/>
  <c r="X15" i="16"/>
  <c r="X18" i="16" s="1"/>
  <c r="V10" i="2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P15" i="11"/>
  <c r="K12" i="12"/>
  <c r="AJ18" i="11"/>
  <c r="D18" i="5"/>
  <c r="D19" i="5" s="1"/>
  <c r="P17" i="11"/>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U13" i="17"/>
  <c r="D19" i="12"/>
  <c r="I17" i="12"/>
  <c r="BE13" i="8"/>
  <c r="P9" i="11"/>
  <c r="AR19" i="20"/>
  <c r="D11" i="6"/>
  <c r="J11" i="12" s="1"/>
  <c r="E11" i="3"/>
  <c r="R15" i="14"/>
  <c r="BH16" i="16"/>
  <c r="AM17" i="11"/>
  <c r="BI16" i="11"/>
  <c r="BG17" i="11"/>
  <c r="BI11" i="11"/>
  <c r="P19" i="8"/>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L19" i="11" l="1"/>
  <c r="AA19" i="11"/>
  <c r="G20" i="21"/>
  <c r="G19" i="21"/>
  <c r="AZ13" i="11"/>
  <c r="AZ19" i="11"/>
  <c r="BI18" i="11"/>
  <c r="T19" i="16"/>
  <c r="BL18" i="11"/>
  <c r="BK13" i="11"/>
  <c r="BK19" i="11" s="1"/>
  <c r="S18" i="16"/>
  <c r="S19" i="16" s="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<sst xmlns="http://schemas.openxmlformats.org/spreadsheetml/2006/main" count="2080" uniqueCount="912">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</sst>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fasPCxu+aHMIg55nFYAMmmr5q6KI64+MdOHAzSkVWSk0xvOfnh5vRTjptiMS9ehwfYTsLgHTYzO/puOs8S7+A==" saltValue="/+PDd+K7A8PNS/wvVNQ4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11.94223107569721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65</v>
      </c>
      <c r="D10" s="228">
        <f>IF(ISNUMBER(Datos!I10),Datos!I10," - ")</f>
        <v>63</v>
      </c>
      <c r="E10" s="229">
        <f>IF(ISNUMBER(Datos!J10),Datos!J10," - ")</f>
        <v>26</v>
      </c>
      <c r="F10" s="229">
        <f>IF(ISNUMBER(Datos!K10),Datos!K10," - ")</f>
        <v>33</v>
      </c>
      <c r="G10" s="1037" t="str">
        <f>IF(Datos!E10&lt;&gt;"",Datos!E10,Datos!D10)</f>
        <v>37</v>
      </c>
      <c r="H10" s="230">
        <f>IF(ISNUMBER(Datos!L10),Datos!L10," - ")</f>
        <v>58</v>
      </c>
      <c r="I10" s="1047" t="str">
        <f>IF(ISNUMBER(Datos!AS10/Datos!BM10),Datos!AS10/Datos!BM10," - ")</f>
        <v xml:space="preserve"> - </v>
      </c>
      <c r="J10" s="1048">
        <f>IF(ISNUMBER(Datos!BY10/Datos!CN10),Datos!BY10/Datos!CN10," - ")</f>
        <v>0</v>
      </c>
      <c r="K10" s="233">
        <f t="shared" ref="K10:K12" si="1">IF(ISNUMBER((E10-F10)/C10),(E10-F10)/C10," - ")</f>
        <v>-0.1076923076923077</v>
      </c>
      <c r="L10" s="1028">
        <f>IF(ISNUMBER(NºAsuntos!I10/NºAsuntos!G10),(NºAsuntos!I10/NºAsuntos!G10)*11," - ")</f>
        <v>19.333333333333332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10.298657718120806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65</v>
      </c>
      <c r="D13" s="1052">
        <f>SUBTOTAL(9,D9:D12)</f>
        <v>63</v>
      </c>
      <c r="E13" s="1053">
        <f>SUBTOTAL(9,E9:E12)</f>
        <v>26</v>
      </c>
      <c r="F13" s="1054">
        <f>SUBTOTAL(9,F9:F12)</f>
        <v>33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1744</v>
      </c>
      <c r="D15" s="228">
        <f>IF(ISNUMBER(IF(D_I="SI",Datos!I15,Datos!I15+Datos!AC15)),IF(D_I="SI",Datos!I15,Datos!I15+Datos!AC15)," - ")</f>
        <v>1715</v>
      </c>
      <c r="E15" s="229">
        <f>IF(ISNUMBER(IF(D_I="SI",Datos!J15,Datos!J15+Datos!AD15)),IF(D_I="SI",Datos!J15,Datos!J15+Datos!AD15)," - ")</f>
        <v>2143</v>
      </c>
      <c r="F15" s="229">
        <f>IF(ISNUMBER(IF(D_I="SI",Datos!K15,Datos!K15+Datos!AE15)),IF(D_I="SI",Datos!K15,Datos!K15+Datos!AE15)," - ")</f>
        <v>2203</v>
      </c>
      <c r="G15" s="1037" t="str">
        <f>IF(Datos!E15&lt;&gt;"",Datos!E15,Datos!D15)</f>
        <v>03</v>
      </c>
      <c r="H15" s="230">
        <f>IF(ISNUMBER(IF(D_I="SI",Datos!L15,Datos!L15+Datos!AF15)),IF(D_I="SI",Datos!L15,Datos!L15+Datos!AF15)," - ")</f>
        <v>1684</v>
      </c>
      <c r="I15" s="1047" t="str">
        <f>IF(ISNUMBER(Datos!AS15/Datos!BM15),Datos!AS15/Datos!BM15," - ")</f>
        <v xml:space="preserve"> - </v>
      </c>
      <c r="J15" s="1048">
        <f>IF(ISNUMBER(Datos!BY15/Datos!CN15),Datos!BY15/Datos!CN15," - ")</f>
        <v>0</v>
      </c>
      <c r="K15" s="233">
        <f t="shared" ref="K15:K17" si="3">IF(ISNUMBER((E15-F15)/C15),(E15-F15)/C15," - ")</f>
        <v>-3.4403669724770644E-2</v>
      </c>
      <c r="L15" s="1028">
        <f>IF(ISNUMBER(NºAsuntos!I15/NºAsuntos!G15),(NºAsuntos!I15/NºAsuntos!G15)*11," - ")</f>
        <v>8.4085338175215618</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102</v>
      </c>
      <c r="D17" s="228">
        <f>IF(ISNUMBER(IF(D_I="SI",Datos!I17,Datos!I17+Datos!AC17)),IF(D_I="SI",Datos!I17,Datos!I17+Datos!AC17)," - ")</f>
        <v>106</v>
      </c>
      <c r="E17" s="229">
        <f>IF(ISNUMBER(IF(D_I="SI",Datos!J17,Datos!J17+Datos!AD17)),IF(D_I="SI",Datos!J17,Datos!J17+Datos!AD17)," - ")</f>
        <v>306</v>
      </c>
      <c r="F17" s="229">
        <f>IF(ISNUMBER(IF(D_I="SI",Datos!K17,Datos!K17+Datos!AE17)),IF(D_I="SI",Datos!K17,Datos!K17+Datos!AE17)," - ")</f>
        <v>316</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-9.8039215686274508E-2</v>
      </c>
      <c r="L17" s="1028">
        <f>IF(ISNUMBER(NºAsuntos!I17/NºAsuntos!G17),(NºAsuntos!I17/NºAsuntos!G17)*11," - ")</f>
        <v>3.2025316455696204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1846</v>
      </c>
      <c r="D18" s="1052">
        <f>SUBTOTAL(9,D15:D17)</f>
        <v>1821</v>
      </c>
      <c r="E18" s="1053">
        <f>SUBTOTAL(9,E15:E17)</f>
        <v>2449</v>
      </c>
      <c r="F18" s="1053">
        <f>SUBTOTAL(9,F15:F17)</f>
        <v>2519</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1911</v>
      </c>
      <c r="D19" s="1074">
        <f>SUBTOTAL(9,D9:D18)</f>
        <v>1884</v>
      </c>
      <c r="E19" s="1075">
        <f>SUBTOTAL(9,E9:E18)</f>
        <v>2475</v>
      </c>
      <c r="F19" s="1075">
        <f>SUBTOTAL(9,F9:F18)</f>
        <v>2552</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ssGifbfVNpK0pRAejiW5jSNRWLbjZpalmVMXC/0OZRnS4WvgQFcxlN0EODeAXGiCxfbmOQeDa1WUP+f8lHUYg==" saltValue="SxolZ8iuF9E9SZDAaUff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VQwW8e8y5zhVxXPa87ddd5H602Lm7RSXNRL8vjRekR7hTfOornWJGFTE3AK3XknKvXTlnsgBAWJcCwb7fQIoWA==" saltValue="DAHDiSQ9yYX3+BMgRLwZ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3977</v>
      </c>
      <c r="J9" s="184">
        <v>2655</v>
      </c>
      <c r="K9" s="184">
        <v>3337</v>
      </c>
      <c r="L9" s="184">
        <v>3716</v>
      </c>
      <c r="M9" s="184">
        <v>617</v>
      </c>
      <c r="N9" s="184">
        <v>2032</v>
      </c>
      <c r="O9" s="184">
        <v>1448</v>
      </c>
      <c r="P9" s="184">
        <v>627</v>
      </c>
      <c r="Q9" s="184">
        <v>696</v>
      </c>
      <c r="R9" s="184">
        <v>9205</v>
      </c>
      <c r="S9" s="184">
        <v>2619</v>
      </c>
      <c r="T9" s="184">
        <v>2289</v>
      </c>
      <c r="U9" s="184">
        <v>2359</v>
      </c>
      <c r="V9" s="184">
        <v>2546</v>
      </c>
      <c r="W9" s="184">
        <v>398</v>
      </c>
      <c r="X9" s="191">
        <v>1310</v>
      </c>
      <c r="Y9" s="194">
        <v>106</v>
      </c>
      <c r="Z9" s="184">
        <v>151</v>
      </c>
      <c r="AA9" s="184">
        <v>177</v>
      </c>
      <c r="AB9" s="184">
        <v>99</v>
      </c>
      <c r="AC9" s="184">
        <v>0</v>
      </c>
      <c r="AD9" s="184">
        <v>0</v>
      </c>
      <c r="AE9" s="184">
        <v>0</v>
      </c>
      <c r="AF9" s="191">
        <v>0</v>
      </c>
      <c r="AG9" s="194">
        <v>140</v>
      </c>
      <c r="AH9" s="184">
        <v>201</v>
      </c>
      <c r="AI9" s="184">
        <v>182</v>
      </c>
      <c r="AJ9" s="195">
        <v>159</v>
      </c>
      <c r="AK9" s="183">
        <v>0</v>
      </c>
      <c r="AL9" s="184">
        <v>0</v>
      </c>
      <c r="AM9" s="184">
        <v>0</v>
      </c>
      <c r="AN9" s="191">
        <v>0</v>
      </c>
      <c r="AO9" s="261">
        <v>6</v>
      </c>
      <c r="AP9" s="157">
        <v>6</v>
      </c>
      <c r="AQ9" s="157">
        <v>6</v>
      </c>
      <c r="AR9" s="196">
        <v>6</v>
      </c>
      <c r="AS9" s="341" t="s">
        <v>804</v>
      </c>
      <c r="AT9" s="198"/>
      <c r="AU9" s="197"/>
      <c r="AV9" s="198"/>
      <c r="AW9" s="197"/>
      <c r="AX9" s="198"/>
      <c r="AY9" s="123">
        <f>IF(ISNUMBER(IF(J_V="SI",S9,S9+AG9)),IF(J_V="SI",S9,S9+AG9)," - ")</f>
        <v>2759</v>
      </c>
      <c r="AZ9" s="123">
        <f>IF(ISNUMBER(IF(J_V="SI",T9,T9+AH9)),IF(J_V="SI",T9,T9+AH9)," - ")</f>
        <v>2490</v>
      </c>
      <c r="BA9" s="124">
        <f>IF(ISNUMBER(IF(J_V="SI",U9,U9+AI9)),IF(J_V="SI",U9,U9+AI9)," - ")</f>
        <v>2541</v>
      </c>
      <c r="BB9" s="124">
        <f>IF(ISNUMBER(IF(J_V="SI",V9,V9+AJ9)),IF(J_V="SI",V9,V9+AJ9)," - ")</f>
        <v>2705</v>
      </c>
      <c r="BC9" s="125">
        <f>IF(ISNUMBER(X9),X9," - ")</f>
        <v>1310</v>
      </c>
      <c r="BD9" s="126">
        <f>IF(ISNUMBER(BA9/AZ9),BA9/AZ9," - ")</f>
        <v>1.0204819277108435</v>
      </c>
      <c r="BE9" s="127">
        <f>IF(ISNUMBER(BB9/BA9),BB9/BA9, " - ")</f>
        <v>1.0645415190869736</v>
      </c>
      <c r="BF9" s="127">
        <f>IF(ISNUMBER(BC9/BA9),BC9/BA9, " - ")</f>
        <v>0.51554506099960651</v>
      </c>
      <c r="BG9" s="199">
        <f>IF(ISNUMBER((AY9+AZ9)/BA9),(AY9+AZ9)/BA9," - ")</f>
        <v>2.0657221566312476</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63</v>
      </c>
      <c r="J10" s="184">
        <v>26</v>
      </c>
      <c r="K10" s="184">
        <v>33</v>
      </c>
      <c r="L10" s="184">
        <v>58</v>
      </c>
      <c r="M10" s="184">
        <v>19</v>
      </c>
      <c r="N10" s="184">
        <v>8</v>
      </c>
      <c r="O10" s="184">
        <v>10</v>
      </c>
      <c r="P10" s="184">
        <v>5</v>
      </c>
      <c r="Q10" s="184">
        <v>4</v>
      </c>
      <c r="R10" s="184">
        <v>85</v>
      </c>
      <c r="S10" s="184">
        <v>41</v>
      </c>
      <c r="T10" s="184">
        <v>23</v>
      </c>
      <c r="U10" s="184">
        <v>27</v>
      </c>
      <c r="V10" s="184">
        <v>31</v>
      </c>
      <c r="W10" s="184">
        <v>11</v>
      </c>
      <c r="X10" s="191">
        <v>14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41</v>
      </c>
      <c r="AZ10" s="129">
        <f t="shared" si="0"/>
        <v>23</v>
      </c>
      <c r="BA10" s="129">
        <f t="shared" si="0"/>
        <v>27</v>
      </c>
      <c r="BB10" s="129">
        <f t="shared" si="0"/>
        <v>31</v>
      </c>
      <c r="BC10" s="125">
        <f t="shared" si="0"/>
        <v>11</v>
      </c>
      <c r="BD10" s="126">
        <f>IF(ISNUMBER(BA10/AZ10),BA10/AZ10," - ")</f>
        <v>1.173913043478261</v>
      </c>
      <c r="BE10" s="127">
        <f>IF(ISNUMBER(BB10/BA10),BB10/BA10, " - ")</f>
        <v>1.1481481481481481</v>
      </c>
      <c r="BF10" s="127">
        <f>IF(ISNUMBER(BC10/BA10),BC10/BA10, " - ")</f>
        <v>0.40740740740740738</v>
      </c>
      <c r="BG10" s="199">
        <f>IF(ISNUMBER((AY10+AZ10)/BA10),(AY10+AZ10)/BA10," - ")</f>
        <v>2.3703703703703702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296</v>
      </c>
      <c r="J11" s="186">
        <v>267</v>
      </c>
      <c r="K11" s="186">
        <v>288</v>
      </c>
      <c r="L11" s="186">
        <v>275</v>
      </c>
      <c r="M11" s="186">
        <v>137</v>
      </c>
      <c r="N11" s="186">
        <v>120</v>
      </c>
      <c r="O11" s="184">
        <v>49</v>
      </c>
      <c r="P11" s="186">
        <v>28</v>
      </c>
      <c r="Q11" s="186">
        <v>20</v>
      </c>
      <c r="R11" s="186">
        <v>184</v>
      </c>
      <c r="S11" s="186">
        <v>303</v>
      </c>
      <c r="T11" s="186">
        <v>260</v>
      </c>
      <c r="U11" s="186">
        <v>292</v>
      </c>
      <c r="V11" s="186">
        <v>271</v>
      </c>
      <c r="W11" s="186">
        <v>123</v>
      </c>
      <c r="X11" s="192">
        <v>131</v>
      </c>
      <c r="Y11" s="194">
        <v>7</v>
      </c>
      <c r="Z11" s="184">
        <v>7</v>
      </c>
      <c r="AA11" s="184">
        <v>10</v>
      </c>
      <c r="AB11" s="184">
        <v>4</v>
      </c>
      <c r="AC11" s="186">
        <v>0</v>
      </c>
      <c r="AD11" s="186">
        <v>0</v>
      </c>
      <c r="AE11" s="186">
        <v>0</v>
      </c>
      <c r="AF11" s="192">
        <v>0</v>
      </c>
      <c r="AG11" s="205">
        <v>5</v>
      </c>
      <c r="AH11" s="186">
        <v>18</v>
      </c>
      <c r="AI11" s="186">
        <v>16</v>
      </c>
      <c r="AJ11" s="206">
        <v>7</v>
      </c>
      <c r="AK11" s="185">
        <v>0</v>
      </c>
      <c r="AL11" s="186">
        <v>0</v>
      </c>
      <c r="AM11" s="186">
        <v>0</v>
      </c>
      <c r="AN11" s="192">
        <v>0</v>
      </c>
      <c r="AO11" s="262">
        <v>1</v>
      </c>
      <c r="AP11" s="158">
        <v>1</v>
      </c>
      <c r="AQ11" s="158">
        <v>1</v>
      </c>
      <c r="AR11" s="157">
        <v>1</v>
      </c>
      <c r="AS11" s="343" t="s">
        <v>806</v>
      </c>
      <c r="AT11" s="206"/>
      <c r="AU11" s="205"/>
      <c r="AV11" s="206"/>
      <c r="AW11" s="205"/>
      <c r="AX11" s="206"/>
      <c r="AY11" s="126">
        <f t="shared" ref="AY11:BB12" si="1">IF(ISNUMBER(IF(J_V="SI",S11,S11+AG11)),IF(J_V="SI",S11,S11+AG11)," - ")</f>
        <v>308</v>
      </c>
      <c r="AZ11" s="127">
        <f t="shared" si="1"/>
        <v>278</v>
      </c>
      <c r="BA11" s="127">
        <f t="shared" si="1"/>
        <v>308</v>
      </c>
      <c r="BB11" s="127">
        <f t="shared" si="1"/>
        <v>278</v>
      </c>
      <c r="BC11" s="125">
        <f>IF(ISNUMBER(X11),X11," - ")</f>
        <v>131</v>
      </c>
      <c r="BD11" s="126">
        <f t="shared" ref="BD11:BD12" si="2">IF(ISNUMBER(BA11/AZ11),BA11/AZ11," - ")</f>
        <v>1.1079136690647482</v>
      </c>
      <c r="BE11" s="127">
        <f t="shared" ref="BE11:BE12" si="3">IF(ISNUMBER(BB11/BA11),BB11/BA11, " - ")</f>
        <v>0.90259740259740262</v>
      </c>
      <c r="BF11" s="127">
        <f t="shared" ref="BF11:BF12" si="4">IF(ISNUMBER(BC11/BA11),BC11/BA11, " - ")</f>
        <v>0.42532467532467533</v>
      </c>
      <c r="BG11" s="199">
        <f t="shared" ref="BG11:BG12" si="5">IF(ISNUMBER((AY11+AZ11)/BA11),(AY11+AZ11)/BA11," - ")</f>
        <v>1.9025974025974026</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4336</v>
      </c>
      <c r="J13" s="187">
        <f t="shared" si="6"/>
        <v>2948</v>
      </c>
      <c r="K13" s="187">
        <f t="shared" si="6"/>
        <v>3658</v>
      </c>
      <c r="L13" s="187">
        <f t="shared" si="6"/>
        <v>4049</v>
      </c>
      <c r="M13" s="187">
        <f t="shared" si="6"/>
        <v>773</v>
      </c>
      <c r="N13" s="187">
        <f t="shared" si="6"/>
        <v>2160</v>
      </c>
      <c r="O13" s="187">
        <f t="shared" si="6"/>
        <v>1507</v>
      </c>
      <c r="P13" s="187">
        <f t="shared" si="6"/>
        <v>660</v>
      </c>
      <c r="Q13" s="187">
        <f t="shared" si="6"/>
        <v>720</v>
      </c>
      <c r="R13" s="187">
        <f t="shared" si="6"/>
        <v>9474</v>
      </c>
      <c r="S13" s="187">
        <f t="shared" si="6"/>
        <v>2963</v>
      </c>
      <c r="T13" s="187">
        <f t="shared" si="6"/>
        <v>2572</v>
      </c>
      <c r="U13" s="187">
        <f t="shared" si="6"/>
        <v>2678</v>
      </c>
      <c r="V13" s="187">
        <f t="shared" si="6"/>
        <v>2848</v>
      </c>
      <c r="W13" s="187">
        <f t="shared" si="6"/>
        <v>532</v>
      </c>
      <c r="X13" s="187">
        <f t="shared" si="6"/>
        <v>1455</v>
      </c>
      <c r="Y13" s="187">
        <f t="shared" si="6"/>
        <v>113</v>
      </c>
      <c r="Z13" s="187">
        <f t="shared" si="6"/>
        <v>158</v>
      </c>
      <c r="AA13" s="187">
        <f t="shared" si="6"/>
        <v>187</v>
      </c>
      <c r="AB13" s="187">
        <f t="shared" si="6"/>
        <v>103</v>
      </c>
      <c r="AC13" s="187">
        <f t="shared" si="6"/>
        <v>0</v>
      </c>
      <c r="AD13" s="187">
        <f t="shared" si="6"/>
        <v>0</v>
      </c>
      <c r="AE13" s="187">
        <f t="shared" si="6"/>
        <v>0</v>
      </c>
      <c r="AF13" s="187">
        <f>SUBTOTAL(9,AF9:AF12)</f>
        <v>0</v>
      </c>
      <c r="AG13" s="187">
        <f t="shared" ref="AG13:AT13" si="7">SUBTOTAL(9,AG8:AG12)</f>
        <v>145</v>
      </c>
      <c r="AH13" s="187">
        <f t="shared" si="7"/>
        <v>219</v>
      </c>
      <c r="AI13" s="187">
        <f t="shared" si="7"/>
        <v>198</v>
      </c>
      <c r="AJ13" s="187">
        <f t="shared" si="7"/>
        <v>166</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3108</v>
      </c>
      <c r="AZ13" s="187">
        <f>SUBTOTAL(9,AZ8:AZ12)</f>
        <v>2791</v>
      </c>
      <c r="BA13" s="187">
        <f>SUBTOTAL(9,BA8:BA12)</f>
        <v>2876</v>
      </c>
      <c r="BB13" s="187">
        <f>SUBTOTAL(9,BB8:BB12)</f>
        <v>3014</v>
      </c>
      <c r="BC13" s="187">
        <f>SUBTOTAL(9,BC8:BC12)</f>
        <v>1452</v>
      </c>
      <c r="BD13" s="208">
        <f>IF(ISNUMBER(BA13/AZ13),BA13/AZ13," - ")</f>
        <v>1.0304550340379792</v>
      </c>
      <c r="BE13" s="209">
        <f>IF(ISNUMBER(BB13/BA13),BB13/BA13, " - ")</f>
        <v>1.0479833101529903</v>
      </c>
      <c r="BF13" s="209">
        <f>IF(ISNUMBER(BC13/BA13),BC13/BA13, " - ")</f>
        <v>0.50486787204450623</v>
      </c>
      <c r="BG13" s="210">
        <f>IF(ISNUMBER((AY13+AZ13)/BA13),(AY13+AZ13)/BA13," - ")</f>
        <v>2.0511126564673159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1715</v>
      </c>
      <c r="J15" s="186">
        <v>2143</v>
      </c>
      <c r="K15" s="186">
        <v>2203</v>
      </c>
      <c r="L15" s="186">
        <v>1684</v>
      </c>
      <c r="M15" s="186">
        <v>320</v>
      </c>
      <c r="N15" s="186">
        <v>1384</v>
      </c>
      <c r="O15" s="184">
        <v>20</v>
      </c>
      <c r="P15" s="186">
        <v>94</v>
      </c>
      <c r="Q15" s="186">
        <v>146</v>
      </c>
      <c r="R15" s="186">
        <v>324</v>
      </c>
      <c r="S15" s="186">
        <v>1468</v>
      </c>
      <c r="T15" s="186">
        <v>2173</v>
      </c>
      <c r="U15" s="186">
        <v>2231</v>
      </c>
      <c r="V15" s="186">
        <v>1442</v>
      </c>
      <c r="W15" s="186">
        <v>241</v>
      </c>
      <c r="X15" s="192">
        <v>1522</v>
      </c>
      <c r="Y15" s="205">
        <v>0</v>
      </c>
      <c r="Z15" s="186">
        <v>0</v>
      </c>
      <c r="AA15" s="186">
        <v>0</v>
      </c>
      <c r="AB15" s="186">
        <v>0</v>
      </c>
      <c r="AC15" s="186">
        <v>29</v>
      </c>
      <c r="AD15" s="186">
        <v>190</v>
      </c>
      <c r="AE15" s="186">
        <v>192</v>
      </c>
      <c r="AF15" s="192">
        <v>27</v>
      </c>
      <c r="AG15" s="205">
        <v>0</v>
      </c>
      <c r="AH15" s="186">
        <v>0</v>
      </c>
      <c r="AI15" s="186">
        <v>0</v>
      </c>
      <c r="AJ15" s="206">
        <v>0</v>
      </c>
      <c r="AK15" s="185">
        <v>11</v>
      </c>
      <c r="AL15" s="186">
        <v>288</v>
      </c>
      <c r="AM15" s="186">
        <v>250</v>
      </c>
      <c r="AN15" s="192">
        <v>49</v>
      </c>
      <c r="AO15" s="262">
        <v>6</v>
      </c>
      <c r="AP15" s="158">
        <v>6</v>
      </c>
      <c r="AQ15" s="158">
        <v>6</v>
      </c>
      <c r="AR15" s="158">
        <v>6</v>
      </c>
      <c r="AS15" s="343" t="s">
        <v>531</v>
      </c>
      <c r="AT15" s="206" t="s">
        <v>329</v>
      </c>
      <c r="AU15" s="205"/>
      <c r="AV15" s="206"/>
      <c r="AW15" s="205"/>
      <c r="AX15" s="206"/>
      <c r="AY15" s="128">
        <f t="shared" ref="AY15:BB16" si="9">IF(ISNUMBER(IF(D_I="SI",S15,S15+AK15)),IF(D_I="SI",S15,S15+AK15)," - ")</f>
        <v>1468</v>
      </c>
      <c r="AZ15" s="129">
        <f t="shared" si="9"/>
        <v>2173</v>
      </c>
      <c r="BA15" s="129">
        <f t="shared" si="9"/>
        <v>2231</v>
      </c>
      <c r="BB15" s="129">
        <f t="shared" si="9"/>
        <v>1442</v>
      </c>
      <c r="BC15" s="125">
        <f>IF(ISNUMBER(W15),W15," - ")</f>
        <v>241</v>
      </c>
      <c r="BD15" s="126">
        <f>IF(ISNUMBER(BA15/AZ15),BA15/AZ15," - ")</f>
        <v>1.0266912103083294</v>
      </c>
      <c r="BE15" s="127">
        <f>IF(ISNUMBER(BB15/BA15),BB15/BA15, " - ")</f>
        <v>0.64634692962796947</v>
      </c>
      <c r="BF15" s="127">
        <f>IF(ISNUMBER(BC15/BA15),BC15/BA15, " - ")</f>
        <v>0.10802330793366204</v>
      </c>
      <c r="BG15" s="199">
        <f t="shared" ref="BG15:BG16" si="10">IF(ISNUMBER((AY15+AZ15)/BA15),(AY15+AZ15)/BA15," - ")</f>
        <v>1.6320035858359481</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106</v>
      </c>
      <c r="J17" s="186">
        <v>306</v>
      </c>
      <c r="K17" s="186">
        <v>316</v>
      </c>
      <c r="L17" s="186">
        <v>92</v>
      </c>
      <c r="M17" s="186">
        <v>8</v>
      </c>
      <c r="N17" s="186">
        <v>260</v>
      </c>
      <c r="O17" s="186">
        <v>0</v>
      </c>
      <c r="P17" s="186">
        <v>2</v>
      </c>
      <c r="Q17" s="186">
        <v>2</v>
      </c>
      <c r="R17" s="186">
        <v>0</v>
      </c>
      <c r="S17" s="186">
        <v>62</v>
      </c>
      <c r="T17" s="186">
        <v>209</v>
      </c>
      <c r="U17" s="186">
        <v>205</v>
      </c>
      <c r="V17" s="186">
        <v>66</v>
      </c>
      <c r="W17" s="186">
        <v>12</v>
      </c>
      <c r="X17" s="192">
        <v>111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62</v>
      </c>
      <c r="AZ17" s="129">
        <f t="shared" si="14"/>
        <v>209</v>
      </c>
      <c r="BA17" s="129">
        <f t="shared" si="14"/>
        <v>205</v>
      </c>
      <c r="BB17" s="129">
        <f t="shared" si="14"/>
        <v>66</v>
      </c>
      <c r="BC17" s="125">
        <f>IF(ISNUMBER(W17),W17," - ")</f>
        <v>12</v>
      </c>
      <c r="BD17" s="126">
        <f>IF(ISNUMBER(BA17/AZ17),BA17/AZ17," - ")</f>
        <v>0.98086124401913877</v>
      </c>
      <c r="BE17" s="127">
        <f>IF(ISNUMBER(BB17/BA17),BB17/BA17, " - ")</f>
        <v>0.32195121951219513</v>
      </c>
      <c r="BF17" s="127">
        <f>IF(ISNUMBER(BC17/BA17),BC17/BA17, " - ")</f>
        <v>5.8536585365853662E-2</v>
      </c>
      <c r="BG17" s="199">
        <f>IF(ISNUMBER((AY17+AZ17)/BA17),(AY17+AZ17)/BA17," - ")</f>
        <v>1.3219512195121952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1821</v>
      </c>
      <c r="J18" s="187">
        <f t="shared" si="15"/>
        <v>2449</v>
      </c>
      <c r="K18" s="187">
        <f t="shared" si="15"/>
        <v>2519</v>
      </c>
      <c r="L18" s="187">
        <f t="shared" si="15"/>
        <v>1776</v>
      </c>
      <c r="M18" s="187">
        <f t="shared" si="15"/>
        <v>328</v>
      </c>
      <c r="N18" s="187">
        <f t="shared" si="15"/>
        <v>1644</v>
      </c>
      <c r="O18" s="187">
        <f t="shared" si="15"/>
        <v>20</v>
      </c>
      <c r="P18" s="187">
        <f t="shared" si="15"/>
        <v>96</v>
      </c>
      <c r="Q18" s="187">
        <f t="shared" si="15"/>
        <v>148</v>
      </c>
      <c r="R18" s="187">
        <f t="shared" si="15"/>
        <v>324</v>
      </c>
      <c r="S18" s="187">
        <f t="shared" si="15"/>
        <v>1530</v>
      </c>
      <c r="T18" s="187">
        <f t="shared" si="15"/>
        <v>2382</v>
      </c>
      <c r="U18" s="187">
        <f t="shared" si="15"/>
        <v>2436</v>
      </c>
      <c r="V18" s="187">
        <f t="shared" si="15"/>
        <v>1508</v>
      </c>
      <c r="W18" s="187">
        <f t="shared" si="15"/>
        <v>253</v>
      </c>
      <c r="X18" s="187">
        <f t="shared" si="15"/>
        <v>1633</v>
      </c>
      <c r="Y18" s="187">
        <f t="shared" si="15"/>
        <v>0</v>
      </c>
      <c r="Z18" s="187">
        <f t="shared" si="15"/>
        <v>0</v>
      </c>
      <c r="AA18" s="187">
        <f t="shared" si="15"/>
        <v>0</v>
      </c>
      <c r="AB18" s="187">
        <f t="shared" si="15"/>
        <v>0</v>
      </c>
      <c r="AC18" s="187">
        <f t="shared" si="15"/>
        <v>29</v>
      </c>
      <c r="AD18" s="187">
        <f t="shared" si="15"/>
        <v>190</v>
      </c>
      <c r="AE18" s="187">
        <f t="shared" si="15"/>
        <v>192</v>
      </c>
      <c r="AF18" s="187">
        <f t="shared" si="15"/>
        <v>27</v>
      </c>
      <c r="AG18" s="187">
        <f t="shared" si="15"/>
        <v>0</v>
      </c>
      <c r="AH18" s="187">
        <f t="shared" si="15"/>
        <v>0</v>
      </c>
      <c r="AI18" s="187">
        <f t="shared" si="15"/>
        <v>0</v>
      </c>
      <c r="AJ18" s="187">
        <f t="shared" si="15"/>
        <v>0</v>
      </c>
      <c r="AK18" s="187">
        <f t="shared" si="15"/>
        <v>11</v>
      </c>
      <c r="AL18" s="187">
        <f t="shared" si="15"/>
        <v>288</v>
      </c>
      <c r="AM18" s="187">
        <f t="shared" si="15"/>
        <v>250</v>
      </c>
      <c r="AN18" s="187">
        <f t="shared" si="15"/>
        <v>49</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1530</v>
      </c>
      <c r="AZ18" s="187">
        <f>SUBTOTAL(9,AZ14:AZ17)</f>
        <v>2382</v>
      </c>
      <c r="BA18" s="187">
        <f>SUBTOTAL(9,BA14:BA17)</f>
        <v>2436</v>
      </c>
      <c r="BB18" s="187">
        <f>SUBTOTAL(9,BB14:BB17)</f>
        <v>1508</v>
      </c>
      <c r="BC18" s="187">
        <f>SUBTOTAL(9,BC14:BC17)</f>
        <v>253</v>
      </c>
      <c r="BD18" s="208">
        <f>IF(ISNUMBER(BA18/AZ18),BA18/AZ18," - ")</f>
        <v>1.0226700251889169</v>
      </c>
      <c r="BE18" s="209">
        <f>IF(ISNUMBER(BB18/BA18),BB18/BA18, " - ")</f>
        <v>0.61904761904761907</v>
      </c>
      <c r="BF18" s="209">
        <f>IF(ISNUMBER(BC18/BA18),BC18/BA18, " - ")</f>
        <v>0.10385878489326765</v>
      </c>
      <c r="BG18" s="210">
        <f>IF(ISNUMBER((AY18+AZ18)/BA18),(AY18+AZ18)/BA18," - ")</f>
        <v>1.6059113300492611</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6157</v>
      </c>
      <c r="J19" s="134">
        <f t="shared" si="18"/>
        <v>5397</v>
      </c>
      <c r="K19" s="134">
        <f t="shared" si="18"/>
        <v>6177</v>
      </c>
      <c r="L19" s="134">
        <f t="shared" si="18"/>
        <v>5825</v>
      </c>
      <c r="M19" s="134">
        <f t="shared" si="18"/>
        <v>1101</v>
      </c>
      <c r="N19" s="134">
        <f t="shared" si="18"/>
        <v>3804</v>
      </c>
      <c r="O19" s="134">
        <f t="shared" si="18"/>
        <v>1527</v>
      </c>
      <c r="P19" s="134">
        <f t="shared" si="18"/>
        <v>756</v>
      </c>
      <c r="Q19" s="134">
        <f t="shared" si="18"/>
        <v>868</v>
      </c>
      <c r="R19" s="134">
        <f t="shared" si="18"/>
        <v>9798</v>
      </c>
      <c r="S19" s="134">
        <f t="shared" si="18"/>
        <v>4493</v>
      </c>
      <c r="T19" s="134">
        <f t="shared" si="18"/>
        <v>4954</v>
      </c>
      <c r="U19" s="134">
        <f t="shared" si="18"/>
        <v>5114</v>
      </c>
      <c r="V19" s="134">
        <f t="shared" si="18"/>
        <v>4356</v>
      </c>
      <c r="W19" s="134">
        <f t="shared" si="18"/>
        <v>785</v>
      </c>
      <c r="X19" s="134">
        <f t="shared" si="18"/>
        <v>3088</v>
      </c>
      <c r="Y19" s="134">
        <f t="shared" si="18"/>
        <v>113</v>
      </c>
      <c r="Z19" s="134">
        <f t="shared" si="18"/>
        <v>158</v>
      </c>
      <c r="AA19" s="134">
        <f t="shared" si="18"/>
        <v>187</v>
      </c>
      <c r="AB19" s="134">
        <f t="shared" si="18"/>
        <v>103</v>
      </c>
      <c r="AC19" s="134">
        <f t="shared" si="18"/>
        <v>29</v>
      </c>
      <c r="AD19" s="134">
        <f t="shared" si="18"/>
        <v>190</v>
      </c>
      <c r="AE19" s="134">
        <f t="shared" si="18"/>
        <v>192</v>
      </c>
      <c r="AF19" s="134">
        <f t="shared" si="18"/>
        <v>27</v>
      </c>
      <c r="AG19" s="134">
        <f t="shared" si="18"/>
        <v>145</v>
      </c>
      <c r="AH19" s="134">
        <f t="shared" si="18"/>
        <v>219</v>
      </c>
      <c r="AI19" s="134">
        <f t="shared" si="18"/>
        <v>198</v>
      </c>
      <c r="AJ19" s="134">
        <f t="shared" si="18"/>
        <v>166</v>
      </c>
      <c r="AK19" s="134">
        <f t="shared" si="18"/>
        <v>11</v>
      </c>
      <c r="AL19" s="134">
        <f t="shared" si="18"/>
        <v>288</v>
      </c>
      <c r="AM19" s="134">
        <f t="shared" si="18"/>
        <v>250</v>
      </c>
      <c r="AN19" s="213">
        <f t="shared" si="18"/>
        <v>49</v>
      </c>
      <c r="AO19" s="214">
        <v>14</v>
      </c>
      <c r="AP19" s="214">
        <v>14</v>
      </c>
      <c r="AQ19" s="214">
        <v>14</v>
      </c>
      <c r="AR19" s="214">
        <v>14</v>
      </c>
      <c r="AS19" s="156">
        <f t="shared" si="18"/>
        <v>0</v>
      </c>
      <c r="AT19" s="156">
        <f t="shared" si="18"/>
        <v>0</v>
      </c>
      <c r="AU19" s="214"/>
      <c r="AV19" s="215"/>
      <c r="AW19" s="214"/>
      <c r="AX19" s="215"/>
      <c r="AY19" s="133">
        <f>SUBTOTAL(9,AY9:AY18)</f>
        <v>4638</v>
      </c>
      <c r="AZ19" s="134">
        <f>SUBTOTAL(9,AZ9:AZ18)</f>
        <v>5173</v>
      </c>
      <c r="BA19" s="134">
        <f>SUBTOTAL(9,BA9:BA18)</f>
        <v>5312</v>
      </c>
      <c r="BB19" s="134">
        <f>SUBTOTAL(9,BB9:BB18)</f>
        <v>4522</v>
      </c>
      <c r="BC19" s="135">
        <f>SUBTOTAL(9,BC9:BC18)</f>
        <v>1705</v>
      </c>
      <c r="BD19" s="216">
        <f>IF(ISNUMBER(BA19/AZ19),BA19/AZ19," - ")</f>
        <v>1.0268702880340228</v>
      </c>
      <c r="BE19" s="213">
        <f>IF(ISNUMBER(BB19/BA19),BB19/BA19, " - ")</f>
        <v>0.85128012048192769</v>
      </c>
      <c r="BF19" s="213">
        <f>IF(ISNUMBER(BC19/BA19),BC19/BA19, " - ")</f>
        <v>0.3209713855421687</v>
      </c>
      <c r="BG19" s="135">
        <f>IF(ISNUMBER((AY19+AZ19)/BA19),(AY19+AZ19)/BA19," - ")</f>
        <v>1.8469503012048192</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zJ4Tg8SfTHpv4Gf7+6HZAZ12D4v8pIDImDYFvVfifHHtVYxSRknUmBzJftq38H+rS1ld0JQ3zBZT5UNR9TFxQ==" saltValue="Q3PsZvEEXPwne8DO62z6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lM2jcJQo+OcN3U7WDQHqIT9vEt/kRWR6rIvuBGglfQGXGhPG2kq2j9Tf0vT4zmyU6JNkEat6l/igqD3gVDn5g==" saltValue="vWqTxJd5SQEID79RFmo9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FUENLABRADA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151</v>
      </c>
      <c r="O9" s="337"/>
      <c r="P9" s="337"/>
      <c r="Q9" s="229">
        <f>IF(ISNUMBER(Datos!P9),Datos!P9,0)</f>
        <v>627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696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99</v>
      </c>
      <c r="AI9" s="337" t="str">
        <f>IF(ISNUMBER(Datos!CD9),Datos!CD9,"-")</f>
        <v>-</v>
      </c>
      <c r="AJ9" s="337" t="str">
        <f>IF(ISNUMBER(Datos!EN9),Datos!EN9," - ")</f>
        <v xml:space="preserve"> - </v>
      </c>
      <c r="AK9" s="337"/>
      <c r="AL9" s="482"/>
      <c r="AM9" s="338">
        <f>IF(ISNUMBER(Datos!R9),Datos!R9," - ")</f>
        <v>9205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617</v>
      </c>
      <c r="BD9" s="232">
        <f>IF(ISNUMBER(Datos!N9),Datos!N9," - ")</f>
        <v>2032</v>
      </c>
      <c r="BE9" s="232" t="str">
        <f>IF(ISNUMBER(Datos!BW9),Datos!BW9," - ")</f>
        <v xml:space="preserve"> - </v>
      </c>
      <c r="BF9" s="231" t="str">
        <f>IF(ISNUMBER(Datos!BX9),Datos!BX9," - ")</f>
        <v xml:space="preserve"> - </v>
      </c>
      <c r="BG9" s="246">
        <f>IF(ISNUMBER(IF(J_V="SI",Datos!K9/Datos!J9,(Datos!K9+Datos!AA9)/(Datos!J9+Datos!Z9))),IF(J_V="SI",Datos!K9/Datos!J9,(Datos!K9+Datos!AA9)/(Datos!J9+Datos!Z9))," - ")</f>
        <v>1.2523164647184604</v>
      </c>
      <c r="BH9" s="263">
        <f>IF(ISNUMBER(((IF(J_V="SI",Datos!L9/Datos!K9,(Datos!L9+Datos!AB9)/(Datos!K9+Datos!AA9)))*11)/factor_trimestre),((IF(J_V="SI",Datos!L9/Datos!K9,(Datos!L9+Datos!AB9)/(Datos!K9+Datos!AA9)))*11)/factor_trimestre," - ")</f>
        <v>3.2569721115537846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-7.4401552728056933E-3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65</v>
      </c>
      <c r="G10" s="336">
        <f>IF(ISNUMBER(Datos!I10),Datos!I10," - ")</f>
        <v>63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33</v>
      </c>
      <c r="AC10" s="229">
        <f>IF(ISNUMBER(Datos!Q10),Datos!Q10," - ")</f>
        <v>4</v>
      </c>
      <c r="AD10" s="337"/>
      <c r="AE10" s="487"/>
      <c r="AF10" s="335">
        <f>IF(ISNUMBER(Datos!L10),Datos!L10,"-")</f>
        <v>58</v>
      </c>
      <c r="AG10" s="337"/>
      <c r="AH10" s="337"/>
      <c r="AI10" s="337"/>
      <c r="AJ10" s="337"/>
      <c r="AK10" s="337"/>
      <c r="AL10" s="482"/>
      <c r="AM10" s="338">
        <f>IF(ISNUMBER(Datos!R10),Datos!R10," - ")</f>
        <v>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19</v>
      </c>
      <c r="BD10" s="232">
        <f>IF(ISNUMBER(Datos!N10),Datos!N10," - ")</f>
        <v>8</v>
      </c>
      <c r="BE10" s="232" t="str">
        <f>IF(ISNUMBER(Datos!BW10),Datos!BW10," - ")</f>
        <v xml:space="preserve"> - </v>
      </c>
      <c r="BF10" s="231" t="str">
        <f>IF(ISNUMBER(Datos!BX10),Datos!BX10," - ")</f>
        <v xml:space="preserve"> - </v>
      </c>
      <c r="BG10" s="246">
        <f>IF(ISNUMBER(Datos!K10/Datos!J10),Datos!K10/Datos!J10," - ")</f>
        <v>1.2692307692307692</v>
      </c>
      <c r="BH10" s="263">
        <f>IF(ISNUMBER(((Datos!L10/Datos!K10)*11)/factor_trimestre),((Datos!L10/Datos!K10)*11)/factor_trimestre," - ")</f>
        <v>5.2727272727272725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1.1904761904761904E-2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249</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7</v>
      </c>
      <c r="O11" s="337"/>
      <c r="P11" s="337"/>
      <c r="Q11" s="229">
        <f>IF(ISNUMBER(Datos!P11),Datos!P11,0)</f>
        <v>28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20</v>
      </c>
      <c r="AD11" s="337"/>
      <c r="AE11" s="487"/>
      <c r="AF11" s="335" t="str">
        <f>IF(ISNUMBER(IF(J_V="SI",Datos!L11,Datos!L11+Datos!AB11)-IF(Monitorios="SI",Datos!CD11,0)),
                          IF(J_V="SI",Datos!L11,Datos!L11+Datos!AB11)-IF(Monitorios="SI",Datos!CD11,0),
                          " - ")</f>
        <v xml:space="preserve"> - </v>
      </c>
      <c r="AG11" s="337"/>
      <c r="AH11" s="337">
        <f>IF(ISNUMBER(Datos!AB11),Datos!AB11,"-")</f>
        <v>4</v>
      </c>
      <c r="AI11" s="337"/>
      <c r="AJ11" s="337"/>
      <c r="AK11" s="337"/>
      <c r="AL11" s="482"/>
      <c r="AM11" s="338">
        <f>IF(ISNUMBER(Datos!R11),Datos!R11," - ")</f>
        <v>184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137</v>
      </c>
      <c r="BD11" s="232">
        <f>IF(ISNUMBER(Datos!N11),Datos!N11," - ")</f>
        <v>120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1.0875912408759123</v>
      </c>
      <c r="BH11" s="263">
        <f>IF(ISNUMBER(((IF(J_V="SI",Datos!L11/Datos!K11,(Datos!L11+Datos!AB11)/(Datos!K11+Datos!AA11)))*11)/factor_trimestre),((IF(J_V="SI",Datos!L11/Datos!K11,(Datos!L11+Datos!AB11)/(Datos!K11+Datos!AA11)))*11)/factor_trimestre," - ")</f>
        <v>2.8087248322147653</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4.5454545454545456E-2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65</v>
      </c>
      <c r="G13" s="901">
        <f t="shared" si="0"/>
        <v>63</v>
      </c>
      <c r="H13" s="902">
        <f t="shared" si="0"/>
        <v>0</v>
      </c>
      <c r="I13" s="901">
        <f t="shared" si="0"/>
        <v>0</v>
      </c>
      <c r="J13" s="870">
        <f t="shared" si="0"/>
        <v>0</v>
      </c>
      <c r="K13" s="870">
        <f t="shared" si="0"/>
        <v>0</v>
      </c>
      <c r="L13" s="902">
        <f t="shared" si="0"/>
        <v>0</v>
      </c>
      <c r="M13" s="902">
        <f t="shared" si="0"/>
        <v>0</v>
      </c>
      <c r="N13" s="902">
        <f t="shared" si="0"/>
        <v>158</v>
      </c>
      <c r="O13" s="903">
        <f t="shared" si="0"/>
        <v>0</v>
      </c>
      <c r="P13" s="903">
        <f t="shared" si="0"/>
        <v>0</v>
      </c>
      <c r="Q13" s="902">
        <f t="shared" si="0"/>
        <v>660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33</v>
      </c>
      <c r="AC13" s="902">
        <f t="shared" si="1"/>
        <v>720</v>
      </c>
      <c r="AD13" s="902">
        <f t="shared" si="1"/>
        <v>0</v>
      </c>
      <c r="AE13" s="902">
        <f t="shared" si="1"/>
        <v>0</v>
      </c>
      <c r="AF13" s="902">
        <f t="shared" si="1"/>
        <v>58</v>
      </c>
      <c r="AG13" s="902">
        <f t="shared" si="1"/>
        <v>0</v>
      </c>
      <c r="AH13" s="902">
        <f t="shared" si="1"/>
        <v>103</v>
      </c>
      <c r="AI13" s="902">
        <f t="shared" si="1"/>
        <v>0</v>
      </c>
      <c r="AJ13" s="902">
        <f t="shared" si="1"/>
        <v>0</v>
      </c>
      <c r="AK13" s="902">
        <f t="shared" si="1"/>
        <v>0</v>
      </c>
      <c r="AL13" s="902">
        <f t="shared" si="1"/>
        <v>0</v>
      </c>
      <c r="AM13" s="902">
        <f t="shared" si="1"/>
        <v>9474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773</v>
      </c>
      <c r="BD13" s="902">
        <f t="shared" si="1"/>
        <v>2160</v>
      </c>
      <c r="BE13" s="902">
        <f t="shared" si="1"/>
        <v>0</v>
      </c>
      <c r="BF13" s="902">
        <f t="shared" si="1"/>
        <v>0</v>
      </c>
      <c r="BG13" s="902">
        <f>IF(ISNUMBER(Datos!K13/Datos!J13),Datos!K13/Datos!J13," - ")</f>
        <v>1.2408412483039348</v>
      </c>
      <c r="BH13" s="906">
        <f>IF(ISNUMBER(((Datos!L13/Datos!K13)*11)/factor_trimestre),((Datos!L13/Datos!K13)*11)/factor_trimestre," - ")</f>
        <v>3.3206670311645712</v>
      </c>
      <c r="BI13" s="902">
        <f>IF(ISNUMBER('Resol  Asuntos'!D13/NºAsuntos!G13),'Resol  Asuntos'!D13/NºAsuntos!G13," - ")</f>
        <v>0.20104031209362808</v>
      </c>
      <c r="BJ13" s="902" t="str">
        <f>IF(ISNUMBER(Datos!CI13/Datos!CJ13),Datos!CI13/Datos!CJ13," - ")</f>
        <v xml:space="preserve"> - </v>
      </c>
      <c r="BK13" s="902">
        <f>SUBTOTAL(9,BK8:BK12)</f>
        <v>0</v>
      </c>
      <c r="BL13" s="902">
        <f>IF(ISNUMBER((I13-AB13+L13)/(F13)),(I13-AB13+L13)/(F13)," - ")</f>
        <v>-0.50769230769230766</v>
      </c>
      <c r="BM13" s="907">
        <f>SUBTOTAL(9,BM9:BM12)</f>
        <v>4.9919152086501668E-2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400</v>
      </c>
      <c r="C15" s="603" t="str">
        <f>Datos!A15</f>
        <v xml:space="preserve">Jdos. Instrucción                               </v>
      </c>
      <c r="D15" s="604"/>
      <c r="E15" s="1168">
        <f>IF(ISNUMBER(Datos!AQ15),Datos!AQ15," - ")</f>
        <v>6</v>
      </c>
      <c r="F15" s="598">
        <f>IF(ISNUMBER(AF15+AB15-Datos!J15-L15),AF15+AB15-Datos!J15-L15," - ")</f>
        <v>1744</v>
      </c>
      <c r="G15" s="601">
        <f>IF(ISNUMBER(IF(D_I="SI",Datos!I15,Datos!I15+Datos!AC15)),IF(D_I="SI",Datos!I15,Datos!I15+Datos!AC15)," - ")</f>
        <v>1715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94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2203</v>
      </c>
      <c r="AC15" s="229">
        <f>IF(ISNUMBER(Datos!Q15),Datos!Q15," - ")</f>
        <v>146</v>
      </c>
      <c r="AD15" s="337"/>
      <c r="AE15" s="487"/>
      <c r="AF15" s="599">
        <f>IF(ISNUMBER(IF(D_I="SI",Datos!L15,Datos!L15+Datos!AF15)),IF(D_I="SI",Datos!L15,Datos!L15+Datos!AF15)," - ")</f>
        <v>1684</v>
      </c>
      <c r="AG15" s="337"/>
      <c r="AH15" s="337"/>
      <c r="AI15" s="337"/>
      <c r="AJ15" s="337"/>
      <c r="AK15" s="337"/>
      <c r="AL15" s="482"/>
      <c r="AM15" s="338">
        <f>IF(ISNUMBER(Datos!R15),Datos!R15," - ")</f>
        <v>324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320</v>
      </c>
      <c r="BD15" s="232">
        <f>IF(ISNUMBER(Datos!N15),Datos!N15," - ")</f>
        <v>1384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1.0279981334577695</v>
      </c>
      <c r="BH15" s="263">
        <f>IF(ISNUMBER(((IF(D_I="SI",Datos!L15/Datos!K15,(Datos!L15+Datos!AF15)/(Datos!K15+Datos!AE15)))*11)/factor_trimestre),((IF(D_I="SI",Datos!L15/Datos!K15,(Datos!L15+Datos!AF15)/(Datos!K15+Datos!AE15)))*11)/factor_trimestre," - ")</f>
        <v>2.2932364956876987</v>
      </c>
      <c r="BI15" s="246">
        <f>IF(ISNUMBER('Resol  Asuntos'!D15/NºAsuntos!G15),'Resol  Asuntos'!D15/NºAsuntos!G15," - ")</f>
        <v>0.14525646845211077</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106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316</v>
      </c>
      <c r="AC17" s="229">
        <f>IF(ISNUMBER(Datos!Q17),Datos!Q17," - ")</f>
        <v>2</v>
      </c>
      <c r="AD17" s="337"/>
      <c r="AE17" s="487"/>
      <c r="AF17" s="335">
        <f>IF(ISNUMBER(Datos!L17),Datos!L17,"-")</f>
        <v>92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260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1.0326797385620916</v>
      </c>
      <c r="BH17" s="263">
        <f>IF(ISNUMBER(((IF(D_I="SI",Datos!L17/Datos!K17,(Datos!L17+Datos!AF17)/(Datos!K17+Datos!AE17)))*11)/factor_trimestre),((IF(D_I="SI",Datos!L17/Datos!K17,(Datos!L17+Datos!AF17)/(Datos!K17+Datos!AE17)))*11)/factor_trimestre," - ")</f>
        <v>0.87341772151898744</v>
      </c>
      <c r="BI17" s="246">
        <f>IF(ISNUMBER('Resol  Asuntos'!D17/NºAsuntos!G17),'Resol  Asuntos'!D17/NºAsuntos!G17," - ")</f>
        <v>2.5316455696202531E-2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1744</v>
      </c>
      <c r="G18" s="901">
        <f>SUBTOTAL(9,G15:G17)</f>
        <v>1821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2519</v>
      </c>
      <c r="AC18" s="902">
        <f t="shared" si="4"/>
        <v>148</v>
      </c>
      <c r="AD18" s="902">
        <f t="shared" si="4"/>
        <v>0</v>
      </c>
      <c r="AE18" s="902">
        <f t="shared" si="4"/>
        <v>0</v>
      </c>
      <c r="AF18" s="902">
        <f t="shared" si="4"/>
        <v>1776</v>
      </c>
      <c r="AG18" s="902">
        <f t="shared" si="4"/>
        <v>0</v>
      </c>
      <c r="AH18" s="902">
        <f t="shared" si="4"/>
        <v>0</v>
      </c>
      <c r="AI18" s="902">
        <f t="shared" si="4"/>
        <v>0</v>
      </c>
      <c r="AJ18" s="902">
        <f t="shared" si="4"/>
        <v>0</v>
      </c>
      <c r="AK18" s="902">
        <f t="shared" si="4"/>
        <v>0</v>
      </c>
      <c r="AL18" s="902">
        <f t="shared" si="4"/>
        <v>0</v>
      </c>
      <c r="AM18" s="902">
        <f t="shared" si="4"/>
        <v>324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328</v>
      </c>
      <c r="BD18" s="902">
        <f t="shared" si="4"/>
        <v>1644</v>
      </c>
      <c r="BE18" s="902">
        <f t="shared" si="4"/>
        <v>0</v>
      </c>
      <c r="BF18" s="902">
        <f t="shared" si="4"/>
        <v>0</v>
      </c>
      <c r="BG18" s="902">
        <f>IF(ISNUMBER(Datos!K18/Datos!J18),Datos!K18/Datos!J18," - ")</f>
        <v>1.0285830951408739</v>
      </c>
      <c r="BH18" s="906">
        <f>IF(ISNUMBER(((Datos!L18/Datos!K18)*11)/factor_trimestre),((Datos!L18/Datos!K18)*11)/factor_trimestre," - ")</f>
        <v>2.1151250496228662</v>
      </c>
      <c r="BI18" s="902">
        <f>SUBTOTAL(9,BI15:BI17)</f>
        <v>0.17057292414831329</v>
      </c>
      <c r="BJ18" s="902">
        <f>SUBTOTAL(9,BJ15:BJ17)</f>
        <v>0</v>
      </c>
      <c r="BK18" s="902">
        <f>SUBTOTAL(9,BK15:BK17)</f>
        <v>0</v>
      </c>
      <c r="BL18" s="902">
        <f>IF(ISNUMBER((I18-AB18+L18)/(F18)),(I18-AB18+L18)/(F18)," - ")</f>
        <v>-1.4443807339449541</v>
      </c>
      <c r="BM18" s="908">
        <f>IF(ISNUMBER((Datos!P18-Datos!Q18)/(Datos!R18-Datos!P18+Datos!Q18)),(Datos!P18-Datos!Q18)/(Datos!R18-Datos!P18+Datos!Q18)," - ")</f>
        <v>-0.13829787234042554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1809</v>
      </c>
      <c r="G19" s="823">
        <f t="shared" si="6"/>
        <v>1884</v>
      </c>
      <c r="H19" s="825">
        <f t="shared" si="6"/>
        <v>0</v>
      </c>
      <c r="I19" s="823">
        <f t="shared" si="6"/>
        <v>0</v>
      </c>
      <c r="J19" s="825">
        <f t="shared" si="6"/>
        <v>0</v>
      </c>
      <c r="K19" s="825">
        <f t="shared" si="6"/>
        <v>0</v>
      </c>
      <c r="L19" s="884">
        <f t="shared" si="6"/>
        <v>0</v>
      </c>
      <c r="M19" s="884">
        <f t="shared" si="6"/>
        <v>0</v>
      </c>
      <c r="N19" s="884">
        <f t="shared" si="6"/>
        <v>158</v>
      </c>
      <c r="O19" s="884">
        <f t="shared" si="6"/>
        <v>0</v>
      </c>
      <c r="P19" s="884">
        <f t="shared" si="6"/>
        <v>0</v>
      </c>
      <c r="Q19" s="825">
        <f t="shared" si="6"/>
        <v>756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2552</v>
      </c>
      <c r="AC19" s="824">
        <f t="shared" si="7"/>
        <v>868</v>
      </c>
      <c r="AD19" s="824">
        <f t="shared" si="7"/>
        <v>0</v>
      </c>
      <c r="AE19" s="824">
        <f t="shared" si="7"/>
        <v>0</v>
      </c>
      <c r="AF19" s="831">
        <f t="shared" si="7"/>
        <v>1834</v>
      </c>
      <c r="AG19" s="831">
        <f t="shared" si="7"/>
        <v>0</v>
      </c>
      <c r="AH19" s="831">
        <f t="shared" si="7"/>
        <v>103</v>
      </c>
      <c r="AI19" s="831">
        <f t="shared" si="7"/>
        <v>0</v>
      </c>
      <c r="AJ19" s="824">
        <f t="shared" si="7"/>
        <v>0</v>
      </c>
      <c r="AK19" s="831">
        <f t="shared" si="7"/>
        <v>0</v>
      </c>
      <c r="AL19" s="831">
        <f t="shared" si="7"/>
        <v>0</v>
      </c>
      <c r="AM19" s="831">
        <f t="shared" si="7"/>
        <v>9798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1101</v>
      </c>
      <c r="BD19" s="823">
        <f t="shared" si="7"/>
        <v>3804</v>
      </c>
      <c r="BE19" s="823">
        <f t="shared" si="7"/>
        <v>0</v>
      </c>
      <c r="BF19" s="833">
        <f t="shared" si="7"/>
        <v>0</v>
      </c>
      <c r="BG19" s="918">
        <f>IF(ISNUMBER(Datos!K19/Datos!J19),Datos!K19/Datos!J19," - ")</f>
        <v>1.1445247359644246</v>
      </c>
      <c r="BH19" s="918">
        <f>IF(ISNUMBER(((Datos!L19/Datos!K19)*11)/factor_trimestre),((Datos!L19/Datos!K19)*11)/factor_trimestre," - ")</f>
        <v>2.8290432248664401</v>
      </c>
      <c r="BI19" s="816">
        <f>IF(ISNUMBER(Datos!J19/Datos!I19),Datos!J19/Datos!I19," - ")</f>
        <v>0.8765632613285691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-1.4107241569928137</v>
      </c>
      <c r="BM19" s="892">
        <f>IF(ISNUMBER((Datos!P19-Datos!Q19+R19)/(Datos!R19-Datos!P19+Datos!Q19-R19)),(Datos!P19-Datos!Q19+R19)/(Datos!R19-Datos!P19+Datos!Q19-R19)," - ")</f>
        <v>-1.1301715438950555E-2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753.6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3.3166247903553998</v>
      </c>
      <c r="F21" s="554">
        <f>IF(ISNUMBER(STDEV(F8:F18)),STDEV(F8:F18),"-")</f>
        <v>969.3711019693817</v>
      </c>
      <c r="G21" s="555">
        <f>IF(ISNUMBER(STDEV(G8:G18)),STDEV(G8:G18),"-")</f>
        <v>926.94055904356674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1233.9409224107935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292.89068332904066</v>
      </c>
      <c r="BD21" s="554"/>
      <c r="BE21" s="554">
        <f>IF(ISNUMBER(STDEV(BE8:BE18)),STDEV(BE8:BE18),"-")</f>
        <v>0</v>
      </c>
      <c r="BF21" s="559">
        <f>IF(ISNUMBER(STDEV(BF8:BF18)),STDEV(BF8:BF18),"-")</f>
        <v>0</v>
      </c>
      <c r="BG21" s="778">
        <f>IF(ISNUMBER(STDEV(BG8:BG18)),STDEV(BG8:BG18),"-")</f>
        <v>0.11436029836252261</v>
      </c>
      <c r="BH21" s="779">
        <f>IF(ISNUMBER(STDEV(BH8:BH18)),STDEV(BH8:BH18),"-")</f>
        <v>1.3549512426987078</v>
      </c>
      <c r="BI21" s="252">
        <f>IF(ISNUMBER(STDEV(BI8:BI18)),STDEV(BI8:BI18),"-")</f>
        <v>7.6944213483373158E-2</v>
      </c>
      <c r="BJ21" s="233" t="str">
        <f>IF(ISNUMBER(BL21/BM21),BL21/BM21," - ")</f>
        <v xml:space="preserve"> - </v>
      </c>
      <c r="BK21" s="578"/>
      <c r="BL21" s="562">
        <f>IF(ISNUMBER(STDEV(BL8:BL18)),STDEV(BL8:BL18),"-")</f>
        <v>0.66233873806220156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JDZviHDC4oLsw14kCRGGBBOxB9RDJKTf874T+LJbvlrVb+8ej4gbxq5lh2z/dquv7FoGpjHjmGqFtHaZpcT9Q==" saltValue="AbZmFzkmfNHhb2ZdZzYw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FUENLABRADA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627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696</v>
      </c>
      <c r="AA9" s="335" t="str">
        <f>IF(ISNUMBER(IF(J_V="SI",Datos!L9,Datos!L9+Datos!AB9)-IF(Monitorios="SI",Datos!CD9,0)),
                          IF(J_V="SI",Datos!L9,Datos!L9+Datos!AB9)-IF(Monitorios="SI",Datos!CD9,0),
                          " - ")</f>
        <v xml:space="preserve"> - </v>
      </c>
      <c r="AB9" s="337"/>
      <c r="AC9" s="337"/>
      <c r="AD9" s="487"/>
      <c r="AE9" s="487">
        <f>IF(ISNUMBER(Datos!R9),Datos!R9," - ")</f>
        <v>9205</v>
      </c>
      <c r="AF9" s="232" t="str">
        <f>IF(ISNUMBER(Datos!BV9),Datos!BV9," - ")</f>
        <v xml:space="preserve"> - </v>
      </c>
      <c r="AG9" s="228" t="str">
        <f>IF(ISNUMBER(Datos!DV9),Datos!DV9," - ")</f>
        <v xml:space="preserve"> - </v>
      </c>
      <c r="AH9" s="301"/>
      <c r="AI9" s="230"/>
      <c r="AJ9" s="228">
        <f>IF(ISNUMBER(Datos!M9),Datos!M9," - ")</f>
        <v>617</v>
      </c>
      <c r="AK9" s="232">
        <f>IF(ISNUMBER(Datos!N9),Datos!N9," - ")</f>
        <v>2032</v>
      </c>
      <c r="AL9" s="232" t="str">
        <f>IF(ISNUMBER(Datos!BW9),Datos!BW9," - ")</f>
        <v xml:space="preserve"> - </v>
      </c>
      <c r="AM9" s="231" t="str">
        <f>IF(ISNUMBER(Datos!BX9),Datos!BX9," - ")</f>
        <v xml:space="preserve"> - </v>
      </c>
      <c r="AN9" s="246"/>
      <c r="AO9" s="263">
        <f>IF(ISNUMBER(((NºAsuntos!I9/NºAsuntos!G9)*11)/factor_trimestre),((NºAsuntos!I9/NºAsuntos!G9)*11)/factor_trimestre," - ")</f>
        <v>3.2569721115537846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-7.4401552728056933E-3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65</v>
      </c>
      <c r="G10" s="228">
        <f>IF(ISNUMBER(Datos!I10),Datos!I10," - ")</f>
        <v>63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33</v>
      </c>
      <c r="Z10" s="622">
        <f>IF(ISNUMBER(Datos!Q10),Datos!Q10," - ")</f>
        <v>4</v>
      </c>
      <c r="AA10" s="335">
        <f>IF(ISNUMBER(Datos!L10),Datos!L10,"-")</f>
        <v>58</v>
      </c>
      <c r="AB10" s="337"/>
      <c r="AC10" s="337"/>
      <c r="AD10" s="487"/>
      <c r="AE10" s="487">
        <f>IF(ISNUMBER(Datos!R10),Datos!R10," - ")</f>
        <v>85</v>
      </c>
      <c r="AF10" s="232" t="str">
        <f>IF(ISNUMBER(Datos!BV10),Datos!BV10," - ")</f>
        <v xml:space="preserve"> - </v>
      </c>
      <c r="AG10" s="228" t="str">
        <f>IF(ISNUMBER(Datos!DV10),Datos!DV10," - ")</f>
        <v xml:space="preserve"> - </v>
      </c>
      <c r="AH10" s="301"/>
      <c r="AI10" s="230"/>
      <c r="AJ10" s="228">
        <f>IF(ISNUMBER(Datos!M10),Datos!M10," - ")</f>
        <v>19</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5.2727272727272725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1.1904761904761904E-2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249</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20</v>
      </c>
      <c r="AA11" s="335" t="str">
        <f>IF(ISNUMBER(IF(J_V="SI",Datos!L11,Datos!L11+Datos!AB11)-IF(Monitorios="SI",Datos!CD11,0)),
                          IF(J_V="SI",Datos!L11,Datos!L11+Datos!AB11)-IF(Monitorios="SI",Datos!CD11,0),
                          " - ")</f>
        <v xml:space="preserve"> - </v>
      </c>
      <c r="AB11" s="337"/>
      <c r="AC11" s="337"/>
      <c r="AD11" s="487"/>
      <c r="AE11" s="487">
        <f>IF(ISNUMBER(Datos!R11),Datos!R11," - ")</f>
        <v>184</v>
      </c>
      <c r="AF11" s="232" t="str">
        <f>IF(ISNUMBER(Datos!BV11),Datos!BV11," - ")</f>
        <v xml:space="preserve"> - </v>
      </c>
      <c r="AG11" s="228" t="str">
        <f>IF(ISNUMBER(Datos!DV11),Datos!DV11," - ")</f>
        <v xml:space="preserve"> - </v>
      </c>
      <c r="AH11" s="301"/>
      <c r="AI11" s="230"/>
      <c r="AJ11" s="228">
        <f>IF(ISNUMBER(Datos!M11),Datos!M11," - ")</f>
        <v>137</v>
      </c>
      <c r="AK11" s="232">
        <f>IF(ISNUMBER(Datos!N11),Datos!N11," - ")</f>
        <v>120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2.8087248322147653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4.5454545454545456E-2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65</v>
      </c>
      <c r="G13" s="901">
        <f>SUBTOTAL(9,G8:G12)</f>
        <v>63</v>
      </c>
      <c r="H13" s="911"/>
      <c r="I13" s="901">
        <f t="shared" ref="I13:N13" si="0">SUBTOTAL(9,I8:I12)</f>
        <v>0</v>
      </c>
      <c r="J13" s="870">
        <f t="shared" si="0"/>
        <v>0</v>
      </c>
      <c r="K13" s="911">
        <f t="shared" si="0"/>
        <v>0</v>
      </c>
      <c r="L13" s="911">
        <f t="shared" si="0"/>
        <v>0</v>
      </c>
      <c r="M13" s="911">
        <f t="shared" si="0"/>
        <v>0</v>
      </c>
      <c r="N13" s="911">
        <f t="shared" si="0"/>
        <v>660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33</v>
      </c>
      <c r="Z13" s="910">
        <f t="shared" si="2"/>
        <v>720</v>
      </c>
      <c r="AA13" s="903">
        <f t="shared" si="2"/>
        <v>58</v>
      </c>
      <c r="AB13" s="903">
        <f t="shared" si="2"/>
        <v>0</v>
      </c>
      <c r="AC13" s="903">
        <f t="shared" si="2"/>
        <v>0</v>
      </c>
      <c r="AD13" s="903">
        <f t="shared" si="2"/>
        <v>0</v>
      </c>
      <c r="AE13" s="903">
        <f t="shared" si="2"/>
        <v>9474</v>
      </c>
      <c r="AF13" s="911">
        <f t="shared" si="2"/>
        <v>0</v>
      </c>
      <c r="AG13" s="911">
        <f t="shared" si="2"/>
        <v>0</v>
      </c>
      <c r="AH13" s="911">
        <f t="shared" si="2"/>
        <v>0</v>
      </c>
      <c r="AI13" s="911">
        <f t="shared" si="2"/>
        <v>0</v>
      </c>
      <c r="AJ13" s="911">
        <f t="shared" si="2"/>
        <v>773</v>
      </c>
      <c r="AK13" s="911">
        <f t="shared" si="2"/>
        <v>2160</v>
      </c>
      <c r="AL13" s="911">
        <f t="shared" si="2"/>
        <v>0</v>
      </c>
      <c r="AM13" s="911">
        <f t="shared" si="2"/>
        <v>0</v>
      </c>
      <c r="AN13" s="911">
        <f t="shared" si="2"/>
        <v>0</v>
      </c>
      <c r="AO13" s="907">
        <f>IF(ISNUMBER(((NºAsuntos!I13/NºAsuntos!G13)*11)/factor_trimestre),((NºAsuntos!I13/NºAsuntos!G13)*11)/factor_trimestre," - ")</f>
        <v>3.2395318595578679</v>
      </c>
      <c r="AP13" s="913" t="str">
        <f>IF(ISNUMBER(Datos!CI13/Datos!CJ13),Datos!CI13/Datos!CJ13," - ")</f>
        <v xml:space="preserve"> - </v>
      </c>
      <c r="AQ13" s="931">
        <f t="shared" ref="AQ13:AV13" si="3">SUBTOTAL(9,AQ9:AQ12)</f>
        <v>0</v>
      </c>
      <c r="AR13" s="931">
        <f t="shared" si="3"/>
        <v>4.9919152086501668E-2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400</v>
      </c>
      <c r="C15" s="163" t="str">
        <f>Datos!A15</f>
        <v xml:space="preserve">Jdos. Instrucción                               </v>
      </c>
      <c r="D15" s="505"/>
      <c r="E15" s="1171">
        <f>IF(ISNUMBER(Datos!AQ15),Datos!AQ15," - ")</f>
        <v>6</v>
      </c>
      <c r="F15" s="336">
        <f>IF(ISNUMBER(AA15+Y15-Datos!J15-K15),AA15+Y15-Datos!J15-K15," - ")</f>
        <v>1744</v>
      </c>
      <c r="G15" s="228">
        <f>IF(ISNUMBER(IF(D_I="SI",Datos!I15,Datos!I15+Datos!AC15)),IF(D_I="SI",Datos!I15,Datos!I15+Datos!AC15)," - ")</f>
        <v>1715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94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2203</v>
      </c>
      <c r="Z15" s="622">
        <f>IF(ISNUMBER(Datos!Q15),Datos!Q15," - ")</f>
        <v>146</v>
      </c>
      <c r="AA15" s="335">
        <f>IF(ISNUMBER(IF(D_I="SI",Datos!L15,Datos!L15+Datos!AF15)),IF(D_I="SI",Datos!L15,Datos!L15+Datos!AF15)," - ")</f>
        <v>1684</v>
      </c>
      <c r="AB15" s="337"/>
      <c r="AC15" s="337"/>
      <c r="AD15" s="487"/>
      <c r="AE15" s="487">
        <f>IF(ISNUMBER(Datos!R15),Datos!R15," - ")</f>
        <v>324</v>
      </c>
      <c r="AF15" s="232" t="str">
        <f>IF(ISNUMBER(Datos!BV15),Datos!BV15," - ")</f>
        <v xml:space="preserve"> - </v>
      </c>
      <c r="AG15" s="228"/>
      <c r="AH15" s="301"/>
      <c r="AI15" s="230"/>
      <c r="AJ15" s="228">
        <f>IF(ISNUMBER(Datos!M15),Datos!M15," - ")</f>
        <v>320</v>
      </c>
      <c r="AK15" s="232">
        <f>IF(ISNUMBER(Datos!N15),Datos!N15," - ")</f>
        <v>1384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2.2932364956876987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106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316</v>
      </c>
      <c r="Z17" s="622">
        <f>IF(ISNUMBER(Datos!Q17),Datos!Q17," - ")</f>
        <v>2</v>
      </c>
      <c r="AA17" s="335">
        <f>IF(ISNUMBER(Datos!L17),Datos!L17,"-")</f>
        <v>92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v>
      </c>
      <c r="AK17" s="232">
        <f>IF(ISNUMBER(Datos!N17),Datos!N17," - ")</f>
        <v>260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0.87341772151898744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1744</v>
      </c>
      <c r="G18" s="901">
        <f>SUBTOTAL(9,G15:G17)</f>
        <v>1821</v>
      </c>
      <c r="H18" s="935">
        <f>SUBTOTAL(9,H15:H17)</f>
        <v>0</v>
      </c>
      <c r="I18" s="914">
        <f>SUBTOTAL(9,I15:I17)</f>
        <v>0</v>
      </c>
      <c r="J18" s="870">
        <f>SUBTOTAL(9,J14:J17)</f>
        <v>0</v>
      </c>
      <c r="K18" s="935">
        <f t="shared" ref="K18:S18" si="4">SUBTOTAL(9,K15:K17)</f>
        <v>0</v>
      </c>
      <c r="L18" s="935">
        <f t="shared" si="4"/>
        <v>0</v>
      </c>
      <c r="M18" s="935">
        <f t="shared" si="4"/>
        <v>0</v>
      </c>
      <c r="N18" s="935">
        <f t="shared" si="4"/>
        <v>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2519</v>
      </c>
      <c r="Z18" s="935">
        <f t="shared" si="5"/>
        <v>148</v>
      </c>
      <c r="AA18" s="935">
        <f t="shared" si="5"/>
        <v>1776</v>
      </c>
      <c r="AB18" s="935">
        <f t="shared" si="5"/>
        <v>0</v>
      </c>
      <c r="AC18" s="935">
        <f t="shared" si="5"/>
        <v>0</v>
      </c>
      <c r="AD18" s="935">
        <f t="shared" si="5"/>
        <v>0</v>
      </c>
      <c r="AE18" s="935">
        <f t="shared" si="5"/>
        <v>324</v>
      </c>
      <c r="AF18" s="935">
        <f t="shared" si="5"/>
        <v>0</v>
      </c>
      <c r="AG18" s="935">
        <f t="shared" si="5"/>
        <v>0</v>
      </c>
      <c r="AH18" s="935">
        <f t="shared" si="5"/>
        <v>0</v>
      </c>
      <c r="AI18" s="935">
        <f t="shared" si="5"/>
        <v>0</v>
      </c>
      <c r="AJ18" s="935">
        <f t="shared" si="5"/>
        <v>328</v>
      </c>
      <c r="AK18" s="935">
        <f t="shared" si="5"/>
        <v>1644</v>
      </c>
      <c r="AL18" s="935">
        <f t="shared" si="5"/>
        <v>0</v>
      </c>
      <c r="AM18" s="935">
        <f t="shared" si="5"/>
        <v>0</v>
      </c>
      <c r="AN18" s="935">
        <f t="shared" si="5"/>
        <v>0</v>
      </c>
      <c r="AO18" s="937">
        <f>IF(ISNUMBER(((NºAsuntos!I18/NºAsuntos!G18)*11)/factor_trimestre),((NºAsuntos!I18/NºAsuntos!G18)*11)/factor_trimestre," - ")</f>
        <v>2.1151250496228662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1809</v>
      </c>
      <c r="G19" s="823">
        <f t="shared" si="7"/>
        <v>1884</v>
      </c>
      <c r="H19" s="824">
        <f t="shared" si="7"/>
        <v>0</v>
      </c>
      <c r="I19" s="823">
        <f t="shared" si="7"/>
        <v>0</v>
      </c>
      <c r="J19" s="825">
        <f t="shared" si="7"/>
        <v>0</v>
      </c>
      <c r="K19" s="823">
        <f t="shared" si="7"/>
        <v>0</v>
      </c>
      <c r="L19" s="826">
        <f t="shared" si="7"/>
        <v>0</v>
      </c>
      <c r="M19" s="823">
        <f t="shared" si="7"/>
        <v>0</v>
      </c>
      <c r="N19" s="824">
        <f t="shared" si="7"/>
        <v>756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2552</v>
      </c>
      <c r="Z19" s="830">
        <f t="shared" si="8"/>
        <v>868</v>
      </c>
      <c r="AA19" s="831">
        <f t="shared" si="8"/>
        <v>1834</v>
      </c>
      <c r="AB19" s="831">
        <f t="shared" si="8"/>
        <v>0</v>
      </c>
      <c r="AC19" s="831">
        <f t="shared" si="8"/>
        <v>0</v>
      </c>
      <c r="AD19" s="832">
        <f t="shared" si="8"/>
        <v>0</v>
      </c>
      <c r="AE19" s="832">
        <f t="shared" si="8"/>
        <v>9798</v>
      </c>
      <c r="AF19" s="833">
        <f t="shared" si="8"/>
        <v>0</v>
      </c>
      <c r="AG19" s="834">
        <f t="shared" si="8"/>
        <v>0</v>
      </c>
      <c r="AH19" s="835">
        <f t="shared" si="8"/>
        <v>0</v>
      </c>
      <c r="AI19" s="833">
        <f t="shared" si="8"/>
        <v>0</v>
      </c>
      <c r="AJ19" s="823">
        <f t="shared" si="8"/>
        <v>1101</v>
      </c>
      <c r="AK19" s="823">
        <f t="shared" si="8"/>
        <v>3804</v>
      </c>
      <c r="AL19" s="823">
        <f t="shared" si="8"/>
        <v>0</v>
      </c>
      <c r="AM19" s="836">
        <f t="shared" si="8"/>
        <v>0</v>
      </c>
      <c r="AN19" s="826">
        <f>IF(ISNUMBER(Datos!K19/Datos!J19),Datos!K19/Datos!J19," - ")</f>
        <v>1.1445247359644246</v>
      </c>
      <c r="AO19" s="826">
        <f>IF(ISNUMBER(FIND("06",Criterios!A8,1)),(IF(ISNUMBER(((Datos!R19/Datos!Q19)*11)/factor_trimestre),((Datos!R19/Datos!Q19)*11)/factor_trimestre," - ")),(IF(ISNUMBER(((Datos!L19/Datos!K19)*11)/factor_trimestre),((Datos!L19/Datos!K19)*11)/factor_trimestre," - ")))</f>
        <v>2.8290432248664401</v>
      </c>
      <c r="AP19" s="837" t="str">
        <f>IF(ISNUMBER(Datos!CI19/Datos!CJ19),Datos!CI19/Datos!CJ19," - ")</f>
        <v xml:space="preserve"> - </v>
      </c>
      <c r="AQ19" s="837">
        <f>IF(OR(ISNUMBER(FIND("01",Criterios!A8,1)),ISNUMBER(FIND("02",Criterios!A8,1)),ISNUMBER(FIND("03",Criterios!A8,1)),ISNUMBER(FIND("04",Criterios!A8,1))),(J19-Y19+K19)/(F19-K19),(I19-Y19+K19)/(F19-K19))</f>
        <v>-1.4107241569928137</v>
      </c>
      <c r="AR19" s="837">
        <f>IF(ISNUMBER((Datos!P19-Datos!Q19+O19)/(Datos!R19-Datos!P19+Datos!Q19-O19)),(Datos!P19-Datos!Q19+O19)/(Datos!R19-Datos!P19+Datos!Q19-O19)," - ")</f>
        <v>-1.1301715438950555E-2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753.6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969.3711019693817</v>
      </c>
      <c r="G21" s="555">
        <f>IF(ISNUMBER(STDEV(G8:G18)),STDEV(G8:G18),"-")</f>
        <v>926.94055904356674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292.89068332904066</v>
      </c>
      <c r="AK21" s="255"/>
      <c r="AL21" s="255">
        <f>IF(ISNUMBER(STDEV(AL8:AL18)),STDEV(AL8:AL18),"-")</f>
        <v>0</v>
      </c>
      <c r="AM21" s="257">
        <f>IF(ISNUMBER(STDEV(AM8:AM18)),STDEV(AM8:AM18),"-")</f>
        <v>0</v>
      </c>
      <c r="AN21" s="542">
        <f>IF(ISNUMBER(STDEV(AN8:AN18)),STDEV(AN8:AN18),"-")</f>
        <v>0</v>
      </c>
      <c r="AO21" s="543">
        <f>IF(ISNUMBER(STDEV(AO8:AO18)),STDEV(AO8:AO18),"-")</f>
        <v>1.3505809110887832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1I851FowmdGJvXd1E8JbIbgJ423ANWnumiaONZF5MxDiPc6Isu+HNTRc3E1uivfGPQz2gBShBQvn+umCG0/kw==" saltValue="sylYgmYY94m/F7cibUuQ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Qto4Gq07u2mFF0pU6jxfFim8rf/kUJIDtGy5UNi9fwhcjBDhYPao7j3Rat3/ZB+l6VkN3knhOXKM/LT9MJQFg==" saltValue="NPtBxGCnDfj7BsZ/vCYh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8v7tnX8bXJCkmqzERy7R4mD0GWmGMIoGndMgTM/XTiMx/Ow5pRtIm3AnUv0EWjCAR2jpWyQq9c6PzhdNLVYhQ==" saltValue="vT9GhZOyJVvx1NWp8gSv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FUENLABRADA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0.20104031209362808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0.1421569679732643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5xpLvSITJiVc0Vvn1zLWtbLBKQyMIYKi6NBPEkHyghRMdge6sOSIxyH6q8agQ/tEno3PsxSBaXQxJfqlJ9CKw==" saltValue="oZv3Sf+gY16HnZ+duKjB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qiz9HUXJnZXktDf91zCzhvkYCPpJtZ9M5qqV4pGv/WeD60L7WokoSQx1ZCCz5UFIW/SvixxI+9GWSQSAQKLnw==" saltValue="AshvC8UC2/Lqc+Ir/yPh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FUENLABRADA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4083</v>
      </c>
      <c r="D9" s="407">
        <f>IF(ISNUMBER(C9/Datos!BH9),C9/Datos!BH9," - ")</f>
        <v>680.5</v>
      </c>
      <c r="E9" s="406">
        <f>IF(ISNUMBER(IF(J_V="SI",Datos!J9,Datos!J9+Datos!Z9)),IF(J_V="SI",Datos!J9,Datos!J9+Datos!Z9)," - ")</f>
        <v>2806</v>
      </c>
      <c r="F9" s="407">
        <f>IF(ISNUMBER(E9/B9),E9/B9," - ")</f>
        <v>467.66666666666669</v>
      </c>
      <c r="G9" s="406">
        <f>IF(ISNUMBER(IF(J_V="SI",Datos!K9,Datos!K9+Datos!AA9)),IF(J_V="SI",Datos!K9,Datos!K9+Datos!AA9)," - ")</f>
        <v>3514</v>
      </c>
      <c r="H9" s="407">
        <f>IF(ISNUMBER(G9/B9),G9/B9," - ")</f>
        <v>585.66666666666663</v>
      </c>
      <c r="I9" s="406">
        <f>IF(ISNUMBER(IF(J_V="SI",Datos!L9,Datos!L9+Datos!AB9)),IF(J_V="SI",Datos!L9,Datos!L9+Datos!AB9)," - ")</f>
        <v>3815</v>
      </c>
      <c r="J9" s="407">
        <f>IF(ISNUMBER(I9/B9),I9/B9," - ")</f>
        <v>635.83333333333337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63</v>
      </c>
      <c r="D10" s="407">
        <f>IF(ISNUMBER(C10/Datos!BH10),C10/Datos!BH10," - ")</f>
        <v>63</v>
      </c>
      <c r="E10" s="406">
        <f>IF(ISNUMBER(Datos!J10),Datos!J10," - ")</f>
        <v>26</v>
      </c>
      <c r="F10" s="407">
        <f>IF(ISNUMBER(E10/B10),E10/B10," - ")</f>
        <v>26</v>
      </c>
      <c r="G10" s="406">
        <f>IF(ISNUMBER(Datos!K10),Datos!K10," - ")</f>
        <v>33</v>
      </c>
      <c r="H10" s="407">
        <f>IF(ISNUMBER(G10/B10),G10/B10," - ")</f>
        <v>33</v>
      </c>
      <c r="I10" s="406">
        <f>IF(ISNUMBER(Datos!L10),Datos!L10," - ")</f>
        <v>58</v>
      </c>
      <c r="J10" s="407">
        <f>IF(ISNUMBER(I10/B10),I10/B10," - ")</f>
        <v>58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303</v>
      </c>
      <c r="D11" s="407">
        <f>IF(ISNUMBER(C11/Datos!BH11),C11/Datos!BH11," - ")</f>
        <v>303</v>
      </c>
      <c r="E11" s="406">
        <f>IF(ISNUMBER(IF(J_V="SI",Datos!J11,Datos!J11+Datos!Z11)),IF(J_V="SI",Datos!J11,Datos!J11+Datos!Z11)," - ")</f>
        <v>274</v>
      </c>
      <c r="F11" s="407">
        <f>IF(ISNUMBER(E11/B11),E11/B11," - ")</f>
        <v>274</v>
      </c>
      <c r="G11" s="406">
        <f>IF(ISNUMBER(IF(J_V="SI",Datos!K11,Datos!K11+Datos!AA11)),IF(J_V="SI",Datos!K11,Datos!K11+Datos!AA11)," - ")</f>
        <v>298</v>
      </c>
      <c r="H11" s="407">
        <f>IF(ISNUMBER(G11/B11),G11/B11," - ")</f>
        <v>298</v>
      </c>
      <c r="I11" s="406">
        <f>IF(ISNUMBER(IF(J_V="SI",Datos!L11,Datos!L11+Datos!AB11)),IF(J_V="SI",Datos!L11,Datos!L11+Datos!AB11)," - ")</f>
        <v>279</v>
      </c>
      <c r="J11" s="407">
        <f>IF(ISNUMBER(I11/B11),I11/B11," - ")</f>
        <v>279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4449</v>
      </c>
      <c r="D13" s="853" t="str">
        <f>IF(ISNUMBER(C13/Datos!BI13),C13/Datos!BI13," - ")</f>
        <v xml:space="preserve"> - </v>
      </c>
      <c r="E13" s="852">
        <f>SUBTOTAL(9,E8:E12)</f>
        <v>3106</v>
      </c>
      <c r="F13" s="853">
        <f>IF(ISNUMBER(E13/B13),E13/B13," - ")</f>
        <v>388.25</v>
      </c>
      <c r="G13" s="852">
        <f>SUBTOTAL(9,G8:G12)</f>
        <v>3845</v>
      </c>
      <c r="H13" s="853">
        <f>IF(ISNUMBER(G13/B13),G13/B13," - ")</f>
        <v>480.625</v>
      </c>
      <c r="I13" s="852">
        <f>SUBTOTAL(9,I8:I12)</f>
        <v>4152</v>
      </c>
      <c r="J13" s="853">
        <f>IF(ISNUMBER(I13/B13),I13/B13," - ")</f>
        <v>519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1715</v>
      </c>
      <c r="D15" s="407">
        <f>IF(ISNUMBER(C15/Datos!BH15),C15/Datos!BH15," - ")</f>
        <v>285.83333333333331</v>
      </c>
      <c r="E15" s="406">
        <f>IF(ISNUMBER(IF(D_I="SI",Datos!J15,Datos!J15+Datos!AD15)),IF(D_I="SI",Datos!J15,Datos!J15+Datos!AD15)," - ")</f>
        <v>2143</v>
      </c>
      <c r="F15" s="407">
        <f>IF(ISNUMBER(E15/B15),E15/B15," - ")</f>
        <v>357.16666666666669</v>
      </c>
      <c r="G15" s="406">
        <f>IF(ISNUMBER(IF(D_I="SI",Datos!K15,Datos!K15+Datos!AE15)),IF(D_I="SI",Datos!K15,Datos!K15+Datos!AE15)," - ")</f>
        <v>2203</v>
      </c>
      <c r="H15" s="407">
        <f>IF(ISNUMBER(G15/B15),G15/B15," - ")</f>
        <v>367.16666666666669</v>
      </c>
      <c r="I15" s="406">
        <f>IF(ISNUMBER(IF(D_I="SI",Datos!L15,Datos!L15+Datos!AF15)),IF(D_I="SI",Datos!L15,Datos!L15+Datos!AF15)," - ")</f>
        <v>1684</v>
      </c>
      <c r="J15" s="407">
        <f>IF(ISNUMBER(I15/B15),I15/B15," - ")</f>
        <v>280.66666666666669</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106</v>
      </c>
      <c r="D17" s="407">
        <f>IF(ISNUMBER(C17/Datos!BH17),C17/Datos!BH17," - ")</f>
        <v>106</v>
      </c>
      <c r="E17" s="406">
        <f>IF(ISNUMBER(IF(D_I="SI",Datos!J17,Datos!J17+Datos!AD17)),IF(D_I="SI",Datos!J17,Datos!J17+Datos!AD17)," - ")</f>
        <v>306</v>
      </c>
      <c r="F17" s="407">
        <f>IF(ISNUMBER(E17/B17),E17/B17," - ")</f>
        <v>306</v>
      </c>
      <c r="G17" s="406">
        <f>IF(ISNUMBER(IF(D_I="SI",Datos!K17,Datos!K17+Datos!AE17)),IF(D_I="SI",Datos!K17,Datos!K17+Datos!AE17)," - ")</f>
        <v>316</v>
      </c>
      <c r="H17" s="407">
        <f>IF(ISNUMBER(G17/B17),G17/B17," - ")</f>
        <v>316</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1821</v>
      </c>
      <c r="D18" s="853" t="str">
        <f>IF(ISNUMBER(C18/Datos!BI18),C18/Datos!BI18," - ")</f>
        <v xml:space="preserve"> - </v>
      </c>
      <c r="E18" s="852">
        <f>SUBTOTAL(9,E14:E17)</f>
        <v>2449</v>
      </c>
      <c r="F18" s="853">
        <f>IF(ISNUMBER(E18/B18),E18/B18," - ")</f>
        <v>349.85714285714283</v>
      </c>
      <c r="G18" s="852">
        <f>SUBTOTAL(9,G14:G17)</f>
        <v>2519</v>
      </c>
      <c r="H18" s="853">
        <f>IF(ISNUMBER(G18/B18),G18/B18," - ")</f>
        <v>359.85714285714283</v>
      </c>
      <c r="I18" s="852">
        <f>SUBTOTAL(9,I14:I17)</f>
        <v>1776</v>
      </c>
      <c r="J18" s="853">
        <f>IF(ISNUMBER(I18/B18),I18/B18," - ")</f>
        <v>253.71428571428572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6270</v>
      </c>
      <c r="D19" s="798" t="str">
        <f>IF(ISNUMBER(C19/Datos!BI19),C19/Datos!BI19," - ")</f>
        <v xml:space="preserve"> - </v>
      </c>
      <c r="E19" s="797">
        <f>SUBTOTAL(9,E9:E18)</f>
        <v>5555</v>
      </c>
      <c r="F19" s="798">
        <f>IF(ISNUMBER(E19/B19),E19/B19," - ")</f>
        <v>396.78571428571428</v>
      </c>
      <c r="G19" s="797">
        <f>SUBTOTAL(9,G9:G18)</f>
        <v>6364</v>
      </c>
      <c r="H19" s="798">
        <f>IF(ISNUMBER(G19/B19),G19/B19," - ")</f>
        <v>454.57142857142856</v>
      </c>
      <c r="I19" s="797">
        <f>SUBTOTAL(9,I9:I18)</f>
        <v>5928</v>
      </c>
      <c r="J19" s="798">
        <f>IF(ISNUMBER(I19/B19),I19/B19," - ")</f>
        <v>423.42857142857144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G76RiolLuahoP86UUlKkYzCborvo0B6BXgFZyXFQwEBjQvgy73ycRDAxiPHmd2GcFq3pnqH/XQOnOQU1LQqNQ==" saltValue="kMa+dyMmmzVAamX33/2q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FUENLABRADA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65</v>
      </c>
      <c r="G10" s="687">
        <f>IF(ISNUMBER(Datos!I10),Datos!I10," - ")</f>
        <v>63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33</v>
      </c>
      <c r="AC10" s="686" t="str">
        <f>IF(ISNUMBER(IF(D_I="SI",DatosP!K17,DatosP!K17+DatosP!AE17)),IF(D_I="SI",DatosP!K17,DatosP!K17+DatosP!AE17)," - ")</f>
        <v xml:space="preserve"> - </v>
      </c>
      <c r="AD10" s="688"/>
      <c r="AE10" s="688"/>
      <c r="AF10" s="691">
        <f>IF(ISNUMBER(Datos!L10),Datos!L10,"-")</f>
        <v>58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19</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5.2727272727272725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249</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65</v>
      </c>
      <c r="G13" s="941">
        <f t="shared" si="0"/>
        <v>63</v>
      </c>
      <c r="H13" s="941">
        <f t="shared" si="0"/>
        <v>0</v>
      </c>
      <c r="I13" s="943">
        <f t="shared" si="0"/>
        <v>0</v>
      </c>
      <c r="J13" s="942">
        <f t="shared" si="0"/>
        <v>0</v>
      </c>
      <c r="K13" s="942">
        <f t="shared" si="0"/>
        <v>0</v>
      </c>
      <c r="L13" s="944">
        <f t="shared" si="0"/>
        <v>0</v>
      </c>
      <c r="M13" s="944">
        <f t="shared" si="0"/>
        <v>0</v>
      </c>
      <c r="N13" s="942">
        <f t="shared" si="0"/>
        <v>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33</v>
      </c>
      <c r="AC13" s="942">
        <f t="shared" si="1"/>
        <v>0</v>
      </c>
      <c r="AD13" s="942">
        <f t="shared" si="1"/>
        <v>0</v>
      </c>
      <c r="AE13" s="942">
        <f t="shared" si="1"/>
        <v>0</v>
      </c>
      <c r="AF13" s="942">
        <f t="shared" si="1"/>
        <v>58</v>
      </c>
      <c r="AG13" s="942">
        <f t="shared" si="1"/>
        <v>0</v>
      </c>
      <c r="AH13" s="942">
        <f t="shared" si="1"/>
        <v>0</v>
      </c>
      <c r="AI13" s="942">
        <f t="shared" si="1"/>
        <v>0</v>
      </c>
      <c r="AJ13" s="942">
        <f t="shared" si="1"/>
        <v>0</v>
      </c>
      <c r="AK13" s="942">
        <f t="shared" si="1"/>
        <v>0</v>
      </c>
      <c r="AL13" s="942">
        <f t="shared" si="1"/>
        <v>19</v>
      </c>
      <c r="AM13" s="942">
        <f t="shared" si="1"/>
        <v>8</v>
      </c>
      <c r="AN13" s="942">
        <f t="shared" si="1"/>
        <v>0</v>
      </c>
      <c r="AO13" s="942">
        <f t="shared" si="1"/>
        <v>0</v>
      </c>
      <c r="AP13" s="947">
        <f>IF(ISNUMBER(((Datos!L13/Datos!K13)*11)/factor_trimestre),((Datos!L13/Datos!K13)*11)/factor_trimestre," - ")</f>
        <v>3.3206670311645712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-0.50769230769230766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2.1151250496228662</v>
      </c>
      <c r="AQ18" s="947">
        <f>IF(ISNUMBER(((Datos!M18/Datos!L18)*11)/factor_trimestre),((Datos!M18/Datos!L18)*11)/factor_trimestre," - ")</f>
        <v>0.55405405405405406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-0.13829787234042554</v>
      </c>
      <c r="AW18" s="949">
        <f>IF(ISNUMBER((Datos!Q18-Datos!R18)/(Datos!S18-Datos!Q18+Datos!R18)),(Datos!Q18-Datos!R18)/(Datos!S18-Datos!Q18+Datos!R18)," - ")</f>
        <v>-0.10316529894490035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65</v>
      </c>
      <c r="G19" s="954">
        <f t="shared" si="4"/>
        <v>63</v>
      </c>
      <c r="H19" s="954">
        <f t="shared" si="4"/>
        <v>0</v>
      </c>
      <c r="I19" s="955">
        <f t="shared" si="4"/>
        <v>0</v>
      </c>
      <c r="J19" s="956">
        <f t="shared" si="4"/>
        <v>0</v>
      </c>
      <c r="K19" s="956">
        <f t="shared" si="4"/>
        <v>0</v>
      </c>
      <c r="L19" s="956">
        <f t="shared" si="4"/>
        <v>0</v>
      </c>
      <c r="M19" s="956">
        <f t="shared" si="4"/>
        <v>0</v>
      </c>
      <c r="N19" s="955">
        <f t="shared" si="4"/>
        <v>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33</v>
      </c>
      <c r="AC19" s="960">
        <f t="shared" si="5"/>
        <v>0</v>
      </c>
      <c r="AD19" s="960">
        <f t="shared" si="5"/>
        <v>0</v>
      </c>
      <c r="AE19" s="960">
        <f t="shared" si="5"/>
        <v>0</v>
      </c>
      <c r="AF19" s="961">
        <f t="shared" si="5"/>
        <v>58</v>
      </c>
      <c r="AG19" s="961">
        <f t="shared" si="5"/>
        <v>0</v>
      </c>
      <c r="AH19" s="961">
        <f t="shared" si="5"/>
        <v>0</v>
      </c>
      <c r="AI19" s="961">
        <f t="shared" si="5"/>
        <v>0</v>
      </c>
      <c r="AJ19" s="962">
        <f t="shared" si="5"/>
        <v>0</v>
      </c>
      <c r="AK19" s="962">
        <f t="shared" si="5"/>
        <v>0</v>
      </c>
      <c r="AL19" s="954">
        <f t="shared" si="5"/>
        <v>19</v>
      </c>
      <c r="AM19" s="954">
        <f t="shared" si="5"/>
        <v>8</v>
      </c>
      <c r="AN19" s="954">
        <f t="shared" si="5"/>
        <v>0</v>
      </c>
      <c r="AO19" s="954">
        <f t="shared" si="5"/>
        <v>0</v>
      </c>
      <c r="AP19" s="954">
        <f>IF(ISNUMBER(((Datos!L19/Datos!K19)*11)/factor_trimestre),((Datos!L19/Datos!K19)*11)/factor_trimestre," - ")</f>
        <v>2.8290432248664401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-0.50769230769230766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-1.1301715438950555E-2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3.4448028487370168</v>
      </c>
      <c r="F21" s="739">
        <f>IF(ISNUMBER(STDEV(F8:F18)),STDEV(F8:F18),"-")</f>
        <v>37.527767497325677</v>
      </c>
      <c r="G21" s="740">
        <f>IF(ISNUMBER(STDEV(G8:G18)),STDEV(G8:G18),"-")</f>
        <v>36.373066958946424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19.05255888325765</v>
      </c>
      <c r="AC21" s="741">
        <f>IF(ISNUMBER(STDEV(AC8:AC18)),STDEV(AC8:AC18),"-")</f>
        <v>0</v>
      </c>
      <c r="AD21" s="744"/>
      <c r="AE21" s="744"/>
      <c r="AF21" s="744"/>
      <c r="AG21" s="744"/>
      <c r="AH21" s="744"/>
      <c r="AI21" s="744"/>
      <c r="AJ21" s="745">
        <f>IF(ISNUMBER(STDEV(AJ8:AJ18)),STDEV(AJ8:AJ18),"-")</f>
        <v>0</v>
      </c>
      <c r="AK21" s="747"/>
      <c r="AL21" s="739">
        <f>IF(ISNUMBER(STDEV(AL8:AL18)),STDEV(AL8:AL18),"-")</f>
        <v>10.96965511460289</v>
      </c>
      <c r="AM21" s="739"/>
      <c r="AN21" s="739">
        <f>IF(ISNUMBER(STDEV(AN8:AN18)),STDEV(AN8:AN18),"-")</f>
        <v>0</v>
      </c>
      <c r="AO21" s="745">
        <f>IF(ISNUMBER(STDEV(AO8:AO18)),STDEV(AO8:AO18),"-")</f>
        <v>0</v>
      </c>
      <c r="AP21" s="782">
        <f>IF(ISNUMBER(STDEV(AP8:AP18)),STDEV(AP8:AP18),"-")</f>
        <v>1.5934408500319488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CHeui0N1Ah2NW8Fh2SLJjodO+fO+ClzDJcGrGaIHPKIgSd+N9OMijBgV3FFhr6e73HUIGkLZ40Xct8eOZv4eFA==" saltValue="bpKwfq0zlmhQOqhMqlB7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FUENLABRADA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vdA+yARRcBqgQ1L0JlmBzQeZ7f3BZhKLgOnMKRtGKukaCV05yFs8YRz3Xf/CFGxBHYet9T85F/+ijkSL8iOMg==" saltValue="2nyccE5VYNCVcgM2zAr0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FUENLABRADA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617</v>
      </c>
      <c r="E9" s="407">
        <f t="shared" ref="E9:E13" si="0">IF(ISNUMBER(D9/B9),D9/B9," - ")</f>
        <v>102.83333333333333</v>
      </c>
      <c r="F9" s="406">
        <f>IF(ISNUMBER(Datos!N9),Datos!N9," - ")</f>
        <v>2032</v>
      </c>
      <c r="G9" s="407">
        <f t="shared" ref="G9:G13" si="1">IF(ISNUMBER(F9/B9),F9/B9," - ")</f>
        <v>338.66666666666669</v>
      </c>
      <c r="H9" s="406">
        <f>IF(ISNUMBER(Datos!O9),Datos!O9," - ")</f>
        <v>1448</v>
      </c>
      <c r="I9" s="407">
        <f>IF(ISNUMBER(H9/B9),H9/B9," - ")</f>
        <v>241.33333333333334</v>
      </c>
    </row>
    <row r="10" spans="1:9">
      <c r="A10" s="405" t="str">
        <f>Datos!A10</f>
        <v>Jdos. Violencia contra la mujer</v>
      </c>
      <c r="B10" s="430">
        <f>Datos!AO10</f>
        <v>1</v>
      </c>
      <c r="C10" s="413">
        <f>Datos!AQ10</f>
        <v>1</v>
      </c>
      <c r="D10" s="406">
        <f>IF(ISNUMBER(Datos!M10),Datos!M10," - ")</f>
        <v>19</v>
      </c>
      <c r="E10" s="407">
        <f>IF(ISNUMBER(D10/B10),D10/B10," - ")</f>
        <v>19</v>
      </c>
      <c r="F10" s="406">
        <f>IF(ISNUMBER(Datos!N10),Datos!N10," - ")</f>
        <v>8</v>
      </c>
      <c r="G10" s="407">
        <f>IF(ISNUMBER(F10/B10),F10/B10," - ")</f>
        <v>8</v>
      </c>
      <c r="H10" s="406">
        <f>IF(ISNUMBER(Datos!O10),Datos!O10," - ")</f>
        <v>10</v>
      </c>
      <c r="I10" s="407">
        <f t="shared" ref="I10:I12" si="2">IF(ISNUMBER(H10/B10),H10/B10," - ")</f>
        <v>10</v>
      </c>
    </row>
    <row r="11" spans="1:9">
      <c r="A11" s="405" t="str">
        <f>Datos!A11</f>
        <v xml:space="preserve">Jdos. Familia                                   </v>
      </c>
      <c r="B11" s="430">
        <f>Datos!AO11</f>
        <v>1</v>
      </c>
      <c r="C11" s="413">
        <f>Datos!AQ11</f>
        <v>1</v>
      </c>
      <c r="D11" s="406">
        <f>IF(ISNUMBER(Datos!M11),Datos!M11," - ")</f>
        <v>137</v>
      </c>
      <c r="E11" s="407">
        <f t="shared" si="0"/>
        <v>137</v>
      </c>
      <c r="F11" s="406">
        <f>IF(ISNUMBER(Datos!N11),Datos!N11," - ")</f>
        <v>120</v>
      </c>
      <c r="G11" s="407">
        <f t="shared" si="1"/>
        <v>120</v>
      </c>
      <c r="H11" s="406">
        <f>IF(ISNUMBER(Datos!O11),Datos!O11," - ")</f>
        <v>49</v>
      </c>
      <c r="I11" s="407">
        <f t="shared" si="2"/>
        <v>49</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8</v>
      </c>
      <c r="D13" s="852">
        <f>SUBTOTAL(9,D9:D12)</f>
        <v>773</v>
      </c>
      <c r="E13" s="853">
        <f t="shared" si="0"/>
        <v>96.625</v>
      </c>
      <c r="F13" s="852">
        <f>SUBTOTAL(9,F9:F12)</f>
        <v>2160</v>
      </c>
      <c r="G13" s="853">
        <f t="shared" si="1"/>
        <v>270</v>
      </c>
      <c r="H13" s="852">
        <f>SUBTOTAL(9,H9:H12)</f>
        <v>1507</v>
      </c>
      <c r="I13" s="853">
        <f>IF(ISNUMBER(H13/B13),H13/B13," - ")</f>
        <v>188.375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320</v>
      </c>
      <c r="E15" s="407">
        <f t="shared" ref="E15:E18" si="3">IF(ISNUMBER(D15/B15),D15/B15," - ")</f>
        <v>53.333333333333336</v>
      </c>
      <c r="F15" s="406">
        <f>IF(ISNUMBER(Datos!N15),Datos!N15," - ")</f>
        <v>1384</v>
      </c>
      <c r="G15" s="407">
        <f t="shared" ref="G15:G18" si="4">IF(ISNUMBER(F15/B15),F15/B15," - ")</f>
        <v>230.66666666666666</v>
      </c>
      <c r="H15" s="406">
        <f>IF(ISNUMBER(Datos!O15),Datos!O15," - ")</f>
        <v>20</v>
      </c>
      <c r="I15" s="407">
        <f t="shared" ref="I15:I17" si="5">IF(ISNUMBER(H15/B15),H15/B15," - ")</f>
        <v>3.3333333333333335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8</v>
      </c>
      <c r="E17" s="407">
        <f>IF(ISNUMBER(D17/B17),D17/B17," - ")</f>
        <v>8</v>
      </c>
      <c r="F17" s="406">
        <f>IF(ISNUMBER(Datos!N17),Datos!N17," - ")</f>
        <v>260</v>
      </c>
      <c r="G17" s="407">
        <f>IF(ISNUMBER(F17/B17),F17/B17," - ")</f>
        <v>260</v>
      </c>
      <c r="H17" s="406">
        <f>IF(ISNUMBER(Datos!O17),Datos!O17," - ")</f>
        <v>0</v>
      </c>
      <c r="I17" s="407">
        <f t="shared" si="5"/>
        <v>0</v>
      </c>
    </row>
    <row r="18" spans="1:9" ht="14.25" thickTop="1" thickBot="1">
      <c r="A18" s="851" t="str">
        <f>Datos!A18</f>
        <v>TOTAL</v>
      </c>
      <c r="B18" s="852">
        <f>Datos!AO18</f>
        <v>7</v>
      </c>
      <c r="C18" s="854">
        <f>Datos!AR18</f>
        <v>7</v>
      </c>
      <c r="D18" s="852">
        <f>SUBTOTAL(9,D15:D17)</f>
        <v>328</v>
      </c>
      <c r="E18" s="853">
        <f t="shared" si="3"/>
        <v>46.857142857142854</v>
      </c>
      <c r="F18" s="852">
        <f>SUBTOTAL(9,F15:F17)</f>
        <v>1644</v>
      </c>
      <c r="G18" s="853">
        <f t="shared" si="4"/>
        <v>234.85714285714286</v>
      </c>
      <c r="H18" s="852">
        <f>SUBTOTAL(9,H15:H17)</f>
        <v>20</v>
      </c>
      <c r="I18" s="853">
        <f>IF(ISNUMBER(H18/B18),H18/B18," - ")</f>
        <v>2.8571428571428572</v>
      </c>
    </row>
    <row r="19" spans="1:9" ht="14.25" thickTop="1" thickBot="1">
      <c r="A19" s="796" t="str">
        <f>Datos!A19</f>
        <v>TOTAL JURISDICCIONES</v>
      </c>
      <c r="B19" s="797">
        <f>Datos!AP19</f>
        <v>14</v>
      </c>
      <c r="C19" s="797">
        <f>Datos!AR19</f>
        <v>14</v>
      </c>
      <c r="D19" s="797">
        <f>SUBTOTAL(9,D8:D18)</f>
        <v>1101</v>
      </c>
      <c r="E19" s="798">
        <f>IF(ISNUMBER(D19/B19),D19/B19," - ")</f>
        <v>78.642857142857139</v>
      </c>
      <c r="F19" s="797">
        <f>SUBTOTAL(9,F8:F18)</f>
        <v>3804</v>
      </c>
      <c r="G19" s="798">
        <f>IF(ISNUMBER(F19/B19),F19/B19," - ")</f>
        <v>271.71428571428572</v>
      </c>
      <c r="H19" s="797">
        <f>SUBTOTAL(9,H8:H18)</f>
        <v>1527</v>
      </c>
      <c r="I19" s="798">
        <f>IF(ISNUMBER(H19/B19),H19/B19," - ")</f>
        <v>109.07142857142857</v>
      </c>
    </row>
    <row r="22" spans="1:9">
      <c r="A22" s="394" t="str">
        <f>Criterios!A4</f>
        <v>Fecha Informe: 07 mar. 2024</v>
      </c>
    </row>
    <row r="27" spans="1:9">
      <c r="A27" s="417"/>
    </row>
  </sheetData>
  <sheetProtection algorithmName="SHA-512" hashValue="4eOEzyTPrdwVEPlU41TIk3W+F61dVYI6lGpjGs8unAvQGQZRwl7pTAx97kaWI7Oqxpl1ySlGGmkSHUqExwe95A==" saltValue="uQQuQyHVQ3qoI3iEWI9l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FUENLABRADA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627</v>
      </c>
      <c r="C9" s="437">
        <f>IF(ISNUMBER(Datos!Q9),Datos!Q9," - ")</f>
        <v>696</v>
      </c>
      <c r="D9" s="411">
        <f>IF(ISNUMBER(Datos!R9),Datos!R9," - ")</f>
        <v>9205</v>
      </c>
    </row>
    <row r="10" spans="1:4">
      <c r="A10" s="405" t="str">
        <f>Datos!A10</f>
        <v>Jdos. Violencia contra la mujer</v>
      </c>
      <c r="B10" s="436">
        <f>IF(ISNUMBER(Datos!P10),Datos!P10," - ")</f>
        <v>5</v>
      </c>
      <c r="C10" s="437">
        <f>IF(ISNUMBER(Datos!Q10),Datos!Q10," - ")</f>
        <v>4</v>
      </c>
      <c r="D10" s="411">
        <f>IF(ISNUMBER(Datos!R10),Datos!R10," - ")</f>
        <v>85</v>
      </c>
    </row>
    <row r="11" spans="1:4">
      <c r="A11" s="405" t="str">
        <f>Datos!A11</f>
        <v xml:space="preserve">Jdos. Familia                                   </v>
      </c>
      <c r="B11" s="436">
        <f>IF(ISNUMBER(Datos!P11),Datos!P11," - ")</f>
        <v>28</v>
      </c>
      <c r="C11" s="437">
        <f>IF(ISNUMBER(Datos!Q11),Datos!Q11," - ")</f>
        <v>20</v>
      </c>
      <c r="D11" s="411">
        <f>IF(ISNUMBER(Datos!R11),Datos!R11," - ")</f>
        <v>184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660</v>
      </c>
      <c r="C13" s="856">
        <f>SUBTOTAL(9,C9:C12)</f>
        <v>720</v>
      </c>
      <c r="D13" s="854">
        <f>SUBTOTAL(9,D9:D12)</f>
        <v>9474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94</v>
      </c>
      <c r="C15" s="437">
        <f>IF(ISNUMBER(Datos!Q15),Datos!Q15," - ")</f>
        <v>146</v>
      </c>
      <c r="D15" s="411">
        <f>IF(ISNUMBER(Datos!R15),Datos!R15," - ")</f>
        <v>324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v>
      </c>
      <c r="C17" s="437">
        <f>IF(ISNUMBER(Datos!Q17),Datos!Q17," - ")</f>
        <v>2</v>
      </c>
      <c r="D17" s="411">
        <f>IF(ISNUMBER(Datos!R17),Datos!R17," - ")</f>
        <v>0</v>
      </c>
    </row>
    <row r="18" spans="1:4" ht="14.25" thickTop="1" thickBot="1">
      <c r="A18" s="851" t="str">
        <f>Datos!A18</f>
        <v>TOTAL</v>
      </c>
      <c r="B18" s="852">
        <f>SUBTOTAL(9,B15:B17)</f>
        <v>96</v>
      </c>
      <c r="C18" s="856">
        <f>SUBTOTAL(9,C15:C17)</f>
        <v>148</v>
      </c>
      <c r="D18" s="854">
        <f>SUBTOTAL(9,D15:D17)</f>
        <v>324</v>
      </c>
    </row>
    <row r="19" spans="1:4" ht="16.5" customHeight="1" thickTop="1" thickBot="1">
      <c r="A19" s="796" t="str">
        <f>Datos!A19</f>
        <v>TOTAL JURISDICCIONES</v>
      </c>
      <c r="B19" s="801">
        <f>SUBTOTAL(9,B8:B18)</f>
        <v>756</v>
      </c>
      <c r="C19" s="802">
        <f>SUBTOTAL(9,C8:C18)</f>
        <v>868</v>
      </c>
      <c r="D19" s="803">
        <f>SUBTOTAL(9,D8:D18)</f>
        <v>9798</v>
      </c>
    </row>
    <row r="20" spans="1:4" ht="7.5" customHeight="1"/>
    <row r="21" spans="1:4" ht="6" customHeight="1"/>
    <row r="22" spans="1:4">
      <c r="A22" s="394" t="str">
        <f>Criterios!A4</f>
        <v>Fecha Informe: 07 mar. 2024</v>
      </c>
    </row>
    <row r="27" spans="1:4">
      <c r="A27" s="417"/>
    </row>
  </sheetData>
  <sheetProtection algorithmName="SHA-512" hashValue="qsQLxw9f/IcZoR2GcW2fj+MxlG/vA9qrYpd31ZyJZRbOjUL7vy4zL7tC1jMSoRrCj/yTybxM4E3RigLsBl59jQ==" saltValue="5dMXWToBl7KFyKH3TsPg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FUENLABRADA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0.47988401594780716</v>
      </c>
      <c r="C9" s="459">
        <f>IF(ISNUMBER(
   IF(J_V="SI",(Datos!J9-Datos!T9)/Datos!T9,(Datos!J9+Datos!Z9-(Datos!T9+Datos!AH9))/(Datos!T9+Datos!AH9))
     ),IF(J_V="SI",(Datos!J9-Datos!T9)/Datos!T9,(Datos!J9+Datos!Z9-(Datos!T9+Datos!AH9))/(Datos!T9+Datos!AH9))," - ")</f>
        <v>0.12690763052208837</v>
      </c>
      <c r="D9" s="459">
        <f>IF(ISNUMBER(
   IF(J_V="SI",(Datos!K9-Datos!U9)/Datos!U9,(Datos!K9+Datos!AA9-(Datos!U9+Datos!AI9))/(Datos!U9+Datos!AI9))
     ),IF(J_V="SI",(Datos!K9-Datos!U9)/Datos!U9,(Datos!K9+Datos!AA9-(Datos!U9+Datos!AI9))/(Datos!U9+Datos!AI9))," - ")</f>
        <v>0.38292011019283745</v>
      </c>
      <c r="E9" s="459">
        <f>IF(ISNUMBER(
   IF(J_V="SI",(Datos!L9-Datos!V9)/Datos!V9,(Datos!L9+Datos!AB9-(Datos!V9+Datos!AJ9))/(Datos!V9+Datos!AJ9))
     ),IF(J_V="SI",(Datos!L9-Datos!V9)/Datos!V9,(Datos!L9+Datos!AB9-(Datos!V9+Datos!AJ9))/(Datos!V9+Datos!AJ9))," - ")</f>
        <v>0.41035120147874304</v>
      </c>
      <c r="F9" s="459">
        <f>IF(ISNUMBER((Datos!M9-Datos!W9)/Datos!W9),(Datos!M9-Datos!W9)/Datos!W9," - ")</f>
        <v>0.55025125628140703</v>
      </c>
      <c r="G9" s="460">
        <f>IF(ISNUMBER((Datos!N9-Datos!X9)/Datos!X9),(Datos!N9-Datos!X9)/Datos!X9," - ")</f>
        <v>0.55114503816793892</v>
      </c>
      <c r="H9" s="458">
        <f>IF(ISNUMBER(((NºAsuntos!G9/NºAsuntos!E9)-Datos!BD9)/Datos!BD9),((NºAsuntos!G9/NºAsuntos!E9)-Datos!BD9)/Datos!BD9," - ")</f>
        <v>0.22718142351395754</v>
      </c>
      <c r="I9" s="459">
        <f>IF(ISNUMBER(((NºAsuntos!I9/NºAsuntos!G9)-Datos!BE9)/Datos!BE9),((NºAsuntos!I9/NºAsuntos!G9)-Datos!BE9)/Datos!BE9," - ")</f>
        <v>1.9835629754549243E-2</v>
      </c>
      <c r="J9" s="464">
        <f>IF(ISNUMBER((('Resol  Asuntos'!D9/NºAsuntos!G9)-Datos!BF9)/Datos!BF9),(('Resol  Asuntos'!D9/NºAsuntos!G9)-Datos!BF9)/Datos!BF9," - ")</f>
        <v>-0.65942185456646696</v>
      </c>
      <c r="K9" s="465">
        <f>IF(ISNUMBER((((NºAsuntos!C9+NºAsuntos!E9)/NºAsuntos!G9)-Datos!BG9)/Datos!BG9),(((NºAsuntos!C9+NºAsuntos!E9)/NºAsuntos!G9)-Datos!BG9)/Datos!BG9," - ")</f>
        <v>-5.0964365058341621E-2</v>
      </c>
    </row>
    <row r="10" spans="1:11">
      <c r="A10" s="405" t="str">
        <f>Datos!A10</f>
        <v>Jdos. Violencia contra la mujer</v>
      </c>
      <c r="B10" s="458">
        <f>IF(ISNUMBER((Datos!I10-Datos!S10)/Datos!S10),(Datos!I10-Datos!S10)/Datos!S10," - ")</f>
        <v>0.53658536585365857</v>
      </c>
      <c r="C10" s="459">
        <f>IF(ISNUMBER((Datos!J10-Datos!T10)/Datos!T10),(Datos!J10-Datos!T10)/Datos!T10," - ")</f>
        <v>0.13043478260869565</v>
      </c>
      <c r="D10" s="459">
        <f>IF(ISNUMBER((Datos!K10-Datos!U10)/Datos!U10),(Datos!K10-Datos!U10)/Datos!U10," - ")</f>
        <v>0.22222222222222221</v>
      </c>
      <c r="E10" s="459">
        <f>IF(ISNUMBER((Datos!L10-Datos!V10)/Datos!V10),(Datos!L10-Datos!V10)/Datos!V10," - ")</f>
        <v>0.87096774193548387</v>
      </c>
      <c r="F10" s="459">
        <f>IF(ISNUMBER((Datos!M10-Datos!W10)/Datos!W10),(Datos!M10-Datos!W10)/Datos!W10," - ")</f>
        <v>0.72727272727272729</v>
      </c>
      <c r="G10" s="460">
        <f>IF(ISNUMBER((Datos!N10-Datos!X10)/Datos!X10),(Datos!N10-Datos!X10)/Datos!X10," - ")</f>
        <v>-0.42857142857142855</v>
      </c>
      <c r="H10" s="458">
        <f>IF(ISNUMBER(((NºAsuntos!G10/NºAsuntos!E10)-Datos!BD10)/Datos!BD10),((NºAsuntos!G10/NºAsuntos!E10)-Datos!BD10)/Datos!BD10," - ")</f>
        <v>8.1196581196581047E-2</v>
      </c>
      <c r="I10" s="459">
        <f>IF(ISNUMBER(((NºAsuntos!I10/NºAsuntos!G10)-Datos!BE10)/Datos!BE10),((NºAsuntos!I10/NºAsuntos!G10)-Datos!BE10)/Datos!BE10," - ")</f>
        <v>0.53079178885630496</v>
      </c>
      <c r="J10" s="464">
        <f>IF(ISNUMBER((('Resol  Asuntos'!D10/NºAsuntos!G10)-Datos!BF10)/Datos!BF10),(('Resol  Asuntos'!D10/NºAsuntos!G10)-Datos!BF10)/Datos!BF10," - ")</f>
        <v>0.41322314049586795</v>
      </c>
      <c r="K10" s="465">
        <f>IF(ISNUMBER((((NºAsuntos!C10+NºAsuntos!E10)/NºAsuntos!G10)-Datos!BG10)/Datos!BG10),(((NºAsuntos!C10+NºAsuntos!E10)/NºAsuntos!G10)-Datos!BG10)/Datos!BG10," - ")</f>
        <v>0.13778409090909091</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-1.6233766233766232E-2</v>
      </c>
      <c r="C11" s="459">
        <f>IF(ISNUMBER(
   IF(J_V="SI",(Datos!J11-Datos!T11)/Datos!T11,(Datos!J11+Datos!Z11-(Datos!T11+Datos!AH11))/(Datos!T11+Datos!AH11))
     ),IF(J_V="SI",(Datos!J11-Datos!T11)/Datos!T11,(Datos!J11+Datos!Z11-(Datos!T11+Datos!AH11))/(Datos!T11+Datos!AH11))," - ")</f>
        <v>-1.4388489208633094E-2</v>
      </c>
      <c r="D11" s="459">
        <f>IF(ISNUMBER(
   IF(J_V="SI",(Datos!K11-Datos!U11)/Datos!U11,(Datos!K11+Datos!AA11-(Datos!U11+Datos!AI11))/(Datos!U11+Datos!AI11))
     ),IF(J_V="SI",(Datos!K11-Datos!U11)/Datos!U11,(Datos!K11+Datos!AA11-(Datos!U11+Datos!AI11))/(Datos!U11+Datos!AI11))," - ")</f>
        <v>-3.2467532467532464E-2</v>
      </c>
      <c r="E11" s="459">
        <f>IF(ISNUMBER(
   IF(J_V="SI",(Datos!L11-Datos!V11)/Datos!V11,(Datos!L11+Datos!AB11-(Datos!V11+Datos!AJ11))/(Datos!V11+Datos!AJ11))
     ),IF(J_V="SI",(Datos!L11-Datos!V11)/Datos!V11,(Datos!L11+Datos!AB11-(Datos!V11+Datos!AJ11))/(Datos!V11+Datos!AJ11))," - ")</f>
        <v>3.5971223021582736E-3</v>
      </c>
      <c r="F11" s="459">
        <f>IF(ISNUMBER((Datos!M11-Datos!W11)/Datos!W11),(Datos!M11-Datos!W11)/Datos!W11," - ")</f>
        <v>0.11382113821138211</v>
      </c>
      <c r="G11" s="460">
        <f>IF(ISNUMBER((Datos!N11-Datos!X11)/Datos!X11),(Datos!N11-Datos!X11)/Datos!X11," - ")</f>
        <v>-8.3969465648854963E-2</v>
      </c>
      <c r="H11" s="458">
        <f>IF(ISNUMBER(((NºAsuntos!G11/NºAsuntos!E11)-Datos!BD11)/Datos!BD11),((NºAsuntos!G11/NºAsuntos!E11)-Datos!BD11)/Datos!BD11," - ")</f>
        <v>-1.8342970897715517E-2</v>
      </c>
      <c r="I11" s="459">
        <f>IF(ISNUMBER(((NºAsuntos!I11/NºAsuntos!G11)-Datos!BE11)/Datos!BE11),((NºAsuntos!I11/NºAsuntos!G11)-Datos!BE11)/Datos!BE11," - ")</f>
        <v>3.7274878084109904E-2</v>
      </c>
      <c r="J11" s="464">
        <f>IF(ISNUMBER((('Resol  Asuntos'!D11/NºAsuntos!G11)-Datos!BF11)/Datos!BF11),(('Resol  Asuntos'!D11/NºAsuntos!G11)-Datos!BF11)/Datos!BF11," - ")</f>
        <v>8.089553768123367E-2</v>
      </c>
      <c r="K11" s="465">
        <f>IF(ISNUMBER((((NºAsuntos!C11+NºAsuntos!E11)/NºAsuntos!G11)-Datos!BG11)/Datos!BG11),(((NºAsuntos!C11+NºAsuntos!E11)/NºAsuntos!G11)-Datos!BG11)/Datos!BG11," - ")</f>
        <v>1.7683303937512832E-2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0.43146718146718149</v>
      </c>
      <c r="C13" s="858">
        <f>IF(ISNUMBER(
   IF(J_V="SI",(Datos!J13-Datos!T13)/Datos!T13,(Datos!J13+Datos!Z13-(Datos!T13+Datos!AH13))/(Datos!T13+Datos!AH13))
     ),IF(J_V="SI",(Datos!J13-Datos!T13)/Datos!T13,(Datos!J13+Datos!Z13-(Datos!T13+Datos!AH13))/(Datos!T13+Datos!AH13))," - ")</f>
        <v>0.11286277319957004</v>
      </c>
      <c r="D13" s="858">
        <f>IF(ISNUMBER(
   IF(J_V="SI",(Datos!K13-Datos!U13)/Datos!U13,(Datos!K13+Datos!AA13-(Datos!U13+Datos!AI13))/(Datos!U13+Datos!AI13))
     ),IF(J_V="SI",(Datos!K13-Datos!U13)/Datos!U13,(Datos!K13+Datos!AA13-(Datos!U13+Datos!AI13))/(Datos!U13+Datos!AI13))," - ")</f>
        <v>0.33692628650904033</v>
      </c>
      <c r="E13" s="858">
        <f>IF(ISNUMBER(
   IF(J_V="SI",(Datos!L13-Datos!V13)/Datos!V13,(Datos!L13+Datos!AB13-(Datos!V13+Datos!AJ13))/(Datos!V13+Datos!AJ13))
     ),IF(J_V="SI",(Datos!L13-Datos!V13)/Datos!V13,(Datos!L13+Datos!AB13-(Datos!V13+Datos!AJ13))/(Datos!V13+Datos!AJ13))," - ")</f>
        <v>0.37757133377571334</v>
      </c>
      <c r="F13" s="859">
        <f>IF(ISNUMBER((Datos!M13-Datos!W13)/Datos!W13),(Datos!M13-Datos!W13)/Datos!W13," - ")</f>
        <v>0.45300751879699247</v>
      </c>
      <c r="G13" s="860">
        <f>IF(ISNUMBER((Datos!N13-Datos!X13)/Datos!X13),(Datos!N13-Datos!X13)/Datos!X13," - ")</f>
        <v>0.4845360824742268</v>
      </c>
      <c r="H13" s="860">
        <f>IF(ISNUMBER(((NºAsuntos!G13/NºAsuntos!E13)-Datos!BD13)/Datos!BD13),((NºAsuntos!G13/NºAsuntos!E13)-Datos!BD13)/Datos!BD13," - ")</f>
        <v>0.20133975069115623</v>
      </c>
      <c r="I13" s="860">
        <f>IF(ISNUMBER(((NºAsuntos!I13/NºAsuntos!G13)-Datos!BE13)/Datos!BE13),((NºAsuntos!I13/NºAsuntos!G13)-Datos!BE13)/Datos!BE13," - ")</f>
        <v>3.0401861102458159E-2</v>
      </c>
      <c r="J13" s="860">
        <f>IF(ISNUMBER((('Resol  Asuntos'!D13/NºAsuntos!G13)-Datos!BF13)/Datos!BF13),(('Resol  Asuntos'!D13/NºAsuntos!G13)-Datos!BF13)/Datos!BF13," - ")</f>
        <v>-0.60179618623879183</v>
      </c>
      <c r="K13" s="860">
        <f>IF(ISNUMBER((((NºAsuntos!C13+NºAsuntos!E13)/NºAsuntos!G13)-Datos!BG13)/Datos!BG13),(((NºAsuntos!C13+NºAsuntos!E13)/NºAsuntos!G13)-Datos!BG13)/Datos!BG13," - ")</f>
        <v>-4.2037276380405282E-2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0.16825613079019072</v>
      </c>
      <c r="C15" s="459">
        <f>IF(ISNUMBER(
   IF(D_I="SI",(Datos!J15-Datos!T15)/Datos!T15,(Datos!J15+Datos!AD15-(Datos!T15+Datos!AL15))/(Datos!T15+Datos!AL15))
     ),IF(D_I="SI",(Datos!J15-Datos!T15)/Datos!T15,(Datos!J15+Datos!AD15-(Datos!T15+Datos!AL15))/(Datos!T15+Datos!AL15))," - ")</f>
        <v>-1.3805798435342844E-2</v>
      </c>
      <c r="D15" s="459">
        <f>IF(ISNUMBER(
   IF(D_I="SI",(Datos!K15-Datos!U15)/Datos!U15,(Datos!K15+Datos!AE15-(Datos!U15+Datos!AM15))/(Datos!U15+Datos!AM15))
     ),IF(D_I="SI",(Datos!K15-Datos!U15)/Datos!U15,(Datos!K15+Datos!AE15-(Datos!U15+Datos!AM15))/(Datos!U15+Datos!AM15))," - ")</f>
        <v>-1.2550425818018825E-2</v>
      </c>
      <c r="E15" s="459">
        <f>IF(ISNUMBER(
   IF(D_I="SI",(Datos!L15-Datos!V15)/Datos!V15,(Datos!L15+Datos!AF15-(Datos!V15+Datos!AN15))/(Datos!V15+Datos!AN15))
     ),IF(D_I="SI",(Datos!L15-Datos!V15)/Datos!V15,(Datos!L15+Datos!AF15-(Datos!V15+Datos!AN15))/(Datos!V15+Datos!AN15))," - ")</f>
        <v>0.16782246879334259</v>
      </c>
      <c r="F15" s="459">
        <f>IF(ISNUMBER((Datos!M15-Datos!W15)/Datos!W15),(Datos!M15-Datos!W15)/Datos!W15," - ")</f>
        <v>0.32780082987551867</v>
      </c>
      <c r="G15" s="460">
        <f>IF(ISNUMBER((Datos!N15-Datos!X15)/Datos!X15),(Datos!N15-Datos!X15)/Datos!X15," - ")</f>
        <v>-9.0670170827858082E-2</v>
      </c>
      <c r="H15" s="458">
        <f>IF(ISNUMBER(((NºAsuntos!G15/NºAsuntos!E15)-Datos!BD15)/Datos!BD15),((NºAsuntos!G15/NºAsuntos!E15)-Datos!BD15)/Datos!BD15," - ")</f>
        <v>1.2729466623635985E-3</v>
      </c>
      <c r="I15" s="459">
        <f>IF(ISNUMBER(((NºAsuntos!I15/NºAsuntos!G15)-Datos!BE15)/Datos!BE15),((NºAsuntos!I15/NºAsuntos!G15)-Datos!BE15)/Datos!BE15," - ")</f>
        <v>0.18266542345798792</v>
      </c>
      <c r="J15" s="464">
        <f>IF(ISNUMBER((('Resol  Asuntos'!D15/NºAsuntos!G15)-Datos!BF15)/Datos!BF15),(('Resol  Asuntos'!D15/NºAsuntos!G15)-Datos!BF15)/Datos!BF15," - ")</f>
        <v>0.34467710006912494</v>
      </c>
      <c r="K15" s="465">
        <f>IF(ISNUMBER((((NºAsuntos!C15+NºAsuntos!E15)/NºAsuntos!G15)-Datos!BG15)/Datos!BG15),(((NºAsuntos!C15+NºAsuntos!E15)/NºAsuntos!G15)-Datos!BG15)/Datos!BG15," - ")</f>
        <v>7.3066452166361248E-2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0.70967741935483875</v>
      </c>
      <c r="C17" s="459">
        <f>IF(ISNUMBER(
   IF(D_I="SI",(Datos!J17-Datos!T17)/Datos!T17,(Datos!J17+Datos!AD17-(Datos!T17+Datos!AL17))/(Datos!T17+Datos!AL17))
     ),IF(D_I="SI",(Datos!J17-Datos!T17)/Datos!T17,(Datos!J17+Datos!AD17-(Datos!T17+Datos!AL17))/(Datos!T17+Datos!AL17))," - ")</f>
        <v>0.46411483253588515</v>
      </c>
      <c r="D17" s="459">
        <f>IF(ISNUMBER(
   IF(D_I="SI",(Datos!K17-Datos!U17)/Datos!U17,(Datos!K17+Datos!AE17-(Datos!U17+Datos!AM17))/(Datos!U17+Datos!AM17))
     ),IF(D_I="SI",(Datos!K17-Datos!U17)/Datos!U17,(Datos!K17+Datos!AE17-(Datos!U17+Datos!AM17))/(Datos!U17+Datos!AM17))," - ")</f>
        <v>0.54146341463414638</v>
      </c>
      <c r="E17" s="459">
        <f>IF(ISNUMBER(
   IF(D_I="SI",(Datos!L17-Datos!V17)/Datos!V17,(Datos!L17+Datos!AF17-(Datos!V17+Datos!AN17))/(Datos!V17+Datos!AN17))
     ),IF(D_I="SI",(Datos!L17-Datos!V17)/Datos!V17,(Datos!L17+Datos!AF17-(Datos!V17+Datos!AN17))/(Datos!V17+Datos!AN17))," - ")</f>
        <v>0.39393939393939392</v>
      </c>
      <c r="F17" s="459">
        <f>IF(ISNUMBER((Datos!M17-Datos!W17)/Datos!W17),(Datos!M17-Datos!W17)/Datos!W17," - ")</f>
        <v>-0.33333333333333331</v>
      </c>
      <c r="G17" s="460">
        <f>IF(ISNUMBER((Datos!N17-Datos!X17)/Datos!X17),(Datos!N17-Datos!X17)/Datos!X17," - ")</f>
        <v>1.3423423423423424</v>
      </c>
      <c r="H17" s="458">
        <f>IF(ISNUMBER(((NºAsuntos!G17/NºAsuntos!E17)-Datos!BD17)/Datos!BD17),((NºAsuntos!G17/NºAsuntos!E17)-Datos!BD17)/Datos!BD17," - ")</f>
        <v>5.2829587119400702E-2</v>
      </c>
      <c r="I17" s="459">
        <f>IF(ISNUMBER(((NºAsuntos!I17/NºAsuntos!G17)-Datos!BE17)/Datos!BE17),((NºAsuntos!I17/NºAsuntos!G17)-Datos!BE17)/Datos!BE17," - ")</f>
        <v>-9.5703874184886878E-2</v>
      </c>
      <c r="J17" s="464">
        <f>IF(ISNUMBER((('Resol  Asuntos'!D17/NºAsuntos!G17)-Datos!BF17)/Datos!BF17),(('Resol  Asuntos'!D17/NºAsuntos!G17)-Datos!BF17)/Datos!BF17," - ")</f>
        <v>-0.5675105485232067</v>
      </c>
      <c r="K17" s="465">
        <f>IF(ISNUMBER((((NºAsuntos!C17+NºAsuntos!E17)/NºAsuntos!G17)-Datos!BG17)/Datos!BG17),(((NºAsuntos!C17+NºAsuntos!E17)/NºAsuntos!G17)-Datos!BG17)/Datos!BG17," - ")</f>
        <v>-1.3732542388715026E-2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0.19019607843137254</v>
      </c>
      <c r="C18" s="858">
        <f>IF(ISNUMBER(
   IF(Criterios!B14="SI",(Datos!J18-Datos!T18)/Datos!T18,(Datos!J18+Datos!AD18-(Datos!T18+Datos!AL18))/(Datos!T18+Datos!AL18))
     ),IF(Criterios!B14="SI",(Datos!J18-Datos!T18)/Datos!T18,(Datos!J18+Datos!AD18-(Datos!T18+Datos!AL18))/(Datos!T18+Datos!AL18))," - ")</f>
        <v>2.8127623845507977E-2</v>
      </c>
      <c r="D18" s="858">
        <f>IF(ISNUMBER(
   IF(Criterios!B14="SI",(Datos!K18-Datos!U18)/Datos!U18,(Datos!K18+Datos!AE18-(Datos!U18+Datos!AM18))/(Datos!U18+Datos!AM18))
     ),IF(Criterios!B14="SI",(Datos!K18-Datos!U18)/Datos!U18,(Datos!K18+Datos!AE18-(Datos!U18+Datos!AM18))/(Datos!U18+Datos!AM18))," - ")</f>
        <v>3.4072249589490969E-2</v>
      </c>
      <c r="E18" s="858">
        <f>IF(ISNUMBER(
   IF(Criterios!B14="SI",(Datos!L18-Datos!V18)/Datos!V18,(Datos!L18+Datos!AF18-(Datos!V18+Datos!AN18))/(Datos!V18+Datos!AN18))
     ),IF(Criterios!B14="SI",(Datos!L18-Datos!V18)/Datos!V18,(Datos!L18+Datos!AF18-(Datos!V18+Datos!AN18))/(Datos!V18+Datos!AN18))," - ")</f>
        <v>0.17771883289124668</v>
      </c>
      <c r="F18" s="859">
        <f>IF(ISNUMBER((Datos!M18-Datos!W18)/Datos!W18),(Datos!M18-Datos!W18)/Datos!W18," - ")</f>
        <v>0.29644268774703558</v>
      </c>
      <c r="G18" s="860">
        <f>IF(ISNUMBER((Datos!N18-Datos!X18)/Datos!X18),(Datos!N18-Datos!X18)/Datos!X18," - ")</f>
        <v>6.7360685854255973E-3</v>
      </c>
      <c r="H18" s="860">
        <f>IF(ISNUMBER(((NºAsuntos!G18/NºAsuntos!E18)-Datos!BD18)/Datos!BD18),((NºAsuntos!G18/NºAsuntos!E18)-Datos!BD18)/Datos!BD18," - ")</f>
        <v>5.7819920466180034E-3</v>
      </c>
      <c r="I18" s="860">
        <f>IF(ISNUMBER(((NºAsuntos!I18/NºAsuntos!G18)-Datos!BE18)/Datos!BE18),((NºAsuntos!I18/NºAsuntos!G18)-Datos!BE18)/Datos!BE18," - ")</f>
        <v>0.13891348825846636</v>
      </c>
      <c r="J18" s="860">
        <f>IF(ISNUMBER((('Resol  Asuntos'!D18/NºAsuntos!G18)-Datos!BF18)/Datos!BF18),(('Resol  Asuntos'!D18/NºAsuntos!G18)-Datos!BF18)/Datos!BF18," - ")</f>
        <v>0.25372544158466809</v>
      </c>
      <c r="K18" s="860">
        <f>IF(ISNUMBER((((NºAsuntos!C18+NºAsuntos!E18)/NºAsuntos!G18)-Datos!BG18)/Datos!BG18),(((NºAsuntos!C18+NºAsuntos!E18)/NºAsuntos!G18)-Datos!BG18)/Datos!BG18," - ")</f>
        <v>5.5548384425604592E-2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0.35187580853816303</v>
      </c>
      <c r="C19" s="805">
        <f>IF(ISNUMBER(
   IF(J_V="SI",(Datos!J19-Datos!T19)/Datos!T19,(Datos!J19+Datos!Z19-(Datos!T19+Datos!AH19))/(Datos!T19+Datos!AH19))
     ),IF(J_V="SI",(Datos!J19-Datos!T19)/Datos!T19,(Datos!J19+Datos!Z19-(Datos!T19+Datos!AH19))/(Datos!T19+Datos!AH19))," - ")</f>
        <v>7.3844964237386429E-2</v>
      </c>
      <c r="D19" s="805">
        <f>IF(ISNUMBER(
   IF(J_V="SI",(Datos!K19-Datos!U19)/Datos!U19,(Datos!K19+Datos!AA19-(Datos!U19+Datos!AI19))/(Datos!U19+Datos!AI19))
     ),IF(J_V="SI",(Datos!K19-Datos!U19)/Datos!U19,(Datos!K19+Datos!AA19-(Datos!U19+Datos!AI19))/(Datos!U19+Datos!AI19))," - ")</f>
        <v>0.19804216867469879</v>
      </c>
      <c r="E19" s="805">
        <f>IF(ISNUMBER(
   IF(J_V="SI",(Datos!L19-Datos!V19)/Datos!V19,(Datos!L19+Datos!AB19-(Datos!V19+Datos!AJ19))/(Datos!V19+Datos!AJ19))
     ),IF(J_V="SI",(Datos!L19-Datos!V19)/Datos!V19,(Datos!L19+Datos!AB19-(Datos!V19+Datos!AJ19))/(Datos!V19+Datos!AJ19))," - ")</f>
        <v>0.31092436974789917</v>
      </c>
      <c r="F19" s="806">
        <f>IF(ISNUMBER((Datos!M19-Datos!W19)/Datos!W19),(Datos!M19-Datos!W19)/Datos!W19," - ")</f>
        <v>0.40254777070063696</v>
      </c>
      <c r="G19" s="807">
        <f>IF(ISNUMBER((Datos!N19-Datos!X19)/Datos!X19),(Datos!N19-Datos!X19)/Datos!X19," - ")</f>
        <v>0.23186528497409326</v>
      </c>
      <c r="H19" s="808">
        <f>IF(ISNUMBER((Tasas!B19-Datos!BD19)/Datos!BD19),(Tasas!B19-Datos!BD19)/Datos!BD19," - ")</f>
        <v>0.11565655059481851</v>
      </c>
      <c r="I19" s="809">
        <f>IF(ISNUMBER((Tasas!C19-Datos!BE19)/Datos!BE19),(Tasas!C19-Datos!BE19)/Datos!BE19," - ")</f>
        <v>9.4222226917165378E-2</v>
      </c>
      <c r="J19" s="810">
        <f>IF(ISNUMBER((Tasas!D19-Datos!BF19)/Datos!BF19),(Tasas!D19-Datos!BF19)/Datos!BF19," - ")</f>
        <v>-0.46099743609120952</v>
      </c>
      <c r="K19" s="810">
        <f>IF(ISNUMBER((Tasas!E19-Datos!BG19)/Datos!BG19),(Tasas!E19-Datos!BG19)/Datos!BG19," - ")</f>
        <v>6.0412058169677738E-3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JbcsSpYyPR9H2WRanqyQqlVt8vO08pXpInq94nK7qx8g3+H9PUmZjuqs7hCxfjUH+U0r3yzrqou/gN0gsk8yQ==" saltValue="RgPK4VK1Hdofk3H7xoV4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FUENLABRADA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1.2523164647184604</v>
      </c>
      <c r="C9" s="446">
        <f>IF(ISNUMBER(NºAsuntos!I9/NºAsuntos!G9),NºAsuntos!I9/NºAsuntos!G9," - ")</f>
        <v>1.0856573705179282</v>
      </c>
      <c r="D9" s="447">
        <f>IF(ISNUMBER('Resol  Asuntos'!D9/NºAsuntos!G9),'Resol  Asuntos'!D9/NºAsuntos!G9," - ")</f>
        <v>0.17558338076266364</v>
      </c>
      <c r="E9" s="448">
        <f>IF(ISNUMBER((NºAsuntos!C9+NºAsuntos!E9)/NºAsuntos!G9),(NºAsuntos!C9+NºAsuntos!E9)/NºAsuntos!G9," - ")</f>
        <v>1.9604439385315879</v>
      </c>
      <c r="G9" s="466"/>
    </row>
    <row r="10" spans="1:7">
      <c r="A10" s="405" t="str">
        <f>Datos!A10</f>
        <v>Jdos. Violencia contra la mujer</v>
      </c>
      <c r="B10" s="445">
        <f>IF(ISNUMBER(NºAsuntos!G10/NºAsuntos!E10),NºAsuntos!G10/NºAsuntos!E10," - ")</f>
        <v>1.2692307692307692</v>
      </c>
      <c r="C10" s="446">
        <f>IF(ISNUMBER(NºAsuntos!I10/NºAsuntos!G10),NºAsuntos!I10/NºAsuntos!G10," - ")</f>
        <v>1.7575757575757576</v>
      </c>
      <c r="D10" s="447">
        <f>IF(ISNUMBER('Resol  Asuntos'!D10/NºAsuntos!G10),'Resol  Asuntos'!D10/NºAsuntos!G10," - ")</f>
        <v>0.5757575757575758</v>
      </c>
      <c r="E10" s="448">
        <f>IF(ISNUMBER((NºAsuntos!C10+NºAsuntos!E10)/NºAsuntos!G10),(NºAsuntos!C10+NºAsuntos!E10)/NºAsuntos!G10," - ")</f>
        <v>2.6969696969696968</v>
      </c>
      <c r="G10" s="466"/>
    </row>
    <row r="11" spans="1:7">
      <c r="A11" s="405" t="str">
        <f>Datos!A11</f>
        <v xml:space="preserve">Jdos. Familia                                   </v>
      </c>
      <c r="B11" s="445">
        <f>IF(ISNUMBER(NºAsuntos!G11/NºAsuntos!E11),NºAsuntos!G11/NºAsuntos!E11," - ")</f>
        <v>1.0875912408759123</v>
      </c>
      <c r="C11" s="446">
        <f>IF(ISNUMBER(NºAsuntos!I11/NºAsuntos!G11),NºAsuntos!I11/NºAsuntos!G11," - ")</f>
        <v>0.93624161073825507</v>
      </c>
      <c r="D11" s="447">
        <f>IF(ISNUMBER('Resol  Asuntos'!D11/NºAsuntos!G11),'Resol  Asuntos'!D11/NºAsuntos!G11," - ")</f>
        <v>0.45973154362416108</v>
      </c>
      <c r="E11" s="448">
        <f>IF(ISNUMBER((NºAsuntos!C11+NºAsuntos!E11)/NºAsuntos!G11),(NºAsuntos!C11+NºAsuntos!E11)/NºAsuntos!G11," - ")</f>
        <v>1.936241610738255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1.2379265936896329</v>
      </c>
      <c r="C13" s="862">
        <f>IF(ISNUMBER(NºAsuntos!I13/NºAsuntos!G13),NºAsuntos!I13/NºAsuntos!G13," - ")</f>
        <v>1.0798439531859558</v>
      </c>
      <c r="D13" s="863">
        <f>IF(ISNUMBER('Resol  Asuntos'!D13/NºAsuntos!G13),'Resol  Asuntos'!D13/NºAsuntos!G13," - ")</f>
        <v>0.20104031209362808</v>
      </c>
      <c r="E13" s="864">
        <f>IF(ISNUMBER((NºAsuntos!C13+NºAsuntos!E13)/NºAsuntos!G13),(NºAsuntos!C13+NºAsuntos!E13)/NºAsuntos!G13," - ")</f>
        <v>1.9648894668400521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1.0279981334577695</v>
      </c>
      <c r="C15" s="446">
        <f>IF(ISNUMBER(NºAsuntos!I15/NºAsuntos!G15),NºAsuntos!I15/NºAsuntos!G15," - ")</f>
        <v>0.76441216522923283</v>
      </c>
      <c r="D15" s="447">
        <f>IF(ISNUMBER('Resol  Asuntos'!D15/NºAsuntos!G15),'Resol  Asuntos'!D15/NºAsuntos!G15," - ")</f>
        <v>0.14525646845211077</v>
      </c>
      <c r="E15" s="448">
        <f>IF(ISNUMBER((NºAsuntos!C15+NºAsuntos!E15)/NºAsuntos!G15),(NºAsuntos!C15+NºAsuntos!E15)/NºAsuntos!G15," - ")</f>
        <v>1.7512482977757604</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1.0326797385620916</v>
      </c>
      <c r="C17" s="446">
        <f>IF(ISNUMBER(NºAsuntos!I17/NºAsuntos!G17),NºAsuntos!I17/NºAsuntos!G17," - ")</f>
        <v>0.29113924050632911</v>
      </c>
      <c r="D17" s="447">
        <f>IF(ISNUMBER('Resol  Asuntos'!D17/NºAsuntos!G17),'Resol  Asuntos'!D17/NºAsuntos!G17," - ")</f>
        <v>2.5316455696202531E-2</v>
      </c>
      <c r="E17" s="448">
        <f>IF(ISNUMBER((NºAsuntos!C17+NºAsuntos!E17)/NºAsuntos!G17),(NºAsuntos!C17+NºAsuntos!E17)/NºAsuntos!G17," - ")</f>
        <v>1.3037974683544304</v>
      </c>
      <c r="G17" s="466"/>
    </row>
    <row r="18" spans="1:7" ht="14.25" thickTop="1" thickBot="1">
      <c r="A18" s="851" t="str">
        <f>Datos!A18</f>
        <v>TOTAL</v>
      </c>
      <c r="B18" s="861">
        <f>IF(ISNUMBER(NºAsuntos!G18/NºAsuntos!E18),NºAsuntos!G18/NºAsuntos!E18," - ")</f>
        <v>1.0285830951408739</v>
      </c>
      <c r="C18" s="862">
        <f>IF(ISNUMBER(NºAsuntos!I18/NºAsuntos!G18),NºAsuntos!I18/NºAsuntos!G18," - ")</f>
        <v>0.70504168320762206</v>
      </c>
      <c r="D18" s="865">
        <f>IF(ISNUMBER('Resol  Asuntos'!D18/NºAsuntos!G18),'Resol  Asuntos'!D18/NºAsuntos!G18," - ")</f>
        <v>0.13021040095275904</v>
      </c>
      <c r="E18" s="864">
        <f>IF(ISNUMBER((NºAsuntos!C18+NºAsuntos!E18)/NºAsuntos!G18),(NºAsuntos!C18+NºAsuntos!E18)/NºAsuntos!G18," - ")</f>
        <v>1.6951171099642715</v>
      </c>
      <c r="G18" s="466"/>
    </row>
    <row r="19" spans="1:7" ht="15.75" customHeight="1" thickTop="1" thickBot="1">
      <c r="A19" s="796" t="str">
        <f>Datos!A19</f>
        <v>TOTAL JURISDICCIONES</v>
      </c>
      <c r="B19" s="811">
        <f>IF(ISNUMBER(NºAsuntos!G19/NºAsuntos!E19),NºAsuntos!G19/NºAsuntos!E19," - ")</f>
        <v>1.1456345634563456</v>
      </c>
      <c r="C19" s="812">
        <f>IF(ISNUMBER(NºAsuntos!I19/NºAsuntos!G19),NºAsuntos!I19/NºAsuntos!G19," - ")</f>
        <v>0.93148962916404776</v>
      </c>
      <c r="D19" s="813">
        <f>IF(ISNUMBER('Resol  Asuntos'!D19/NºAsuntos!G19),'Resol  Asuntos'!D19/NºAsuntos!G19," - ")</f>
        <v>0.17300439974858581</v>
      </c>
      <c r="E19" s="814">
        <f>IF(ISNUMBER((NºAsuntos!C19+NºAsuntos!E19)/NºAsuntos!G19),(NºAsuntos!C19+NºAsuntos!E19)/NºAsuntos!G19," - ")</f>
        <v>1.8581081081081081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vXS49C7Sa/thcQbm/4nlws5gCfr2MJweffv9l7TcrdOEwVy7naDCJVF59Mu2TNkamRVmdNEH1yT9z/U6ufWFA==" saltValue="2BjmuENGbKlOGhn3LUUQ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FUENLABRADA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627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696</v>
      </c>
      <c r="Y9" s="337">
        <f>SUM(W9:X9)</f>
        <v>696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9205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617</v>
      </c>
      <c r="AJ9" s="232" t="str">
        <f>IF(ISNUMBER(Datos!BW9),Datos!BW9," - ")</f>
        <v xml:space="preserve"> - </v>
      </c>
      <c r="AK9" s="231" t="str">
        <f>IF(ISNUMBER(Datos!BX9),Datos!BX9," - ")</f>
        <v xml:space="preserve"> - </v>
      </c>
      <c r="AL9" s="246">
        <f>IF(ISNUMBER(NºAsuntos!G9/NºAsuntos!E9),NºAsuntos!G9/NºAsuntos!E9," - ")</f>
        <v>1.2523164647184604</v>
      </c>
      <c r="AM9" s="263">
        <f>IF(ISNUMBER(((NºAsuntos!I9/NºAsuntos!G9)*11)/factor_trimestre),((NºAsuntos!I9/NºAsuntos!G9)*11)/factor_trimestre," - ")</f>
        <v>3.2569721115537846</v>
      </c>
      <c r="AN9" s="247">
        <f>IF(ISNUMBER('Resol  Asuntos'!D9/NºAsuntos!G9),'Resol  Asuntos'!D9/NºAsuntos!G9," - ")</f>
        <v>0.17558338076266364</v>
      </c>
      <c r="AO9" s="248">
        <f>IF(ISNUMBER((NºAsuntos!C9+NºAsuntos!E9)/NºAsuntos!G9),(NºAsuntos!C9+NºAsuntos!E9)/NºAsuntos!G9," - ")</f>
        <v>1.9604439385315879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65</v>
      </c>
      <c r="G10" s="336">
        <f>IF(ISNUMBER(Datos!I10),Datos!I10," - ")</f>
        <v>63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33</v>
      </c>
      <c r="X10" s="229">
        <f>IF(ISNUMBER(Datos!Q10),Datos!Q10," - ")</f>
        <v>4</v>
      </c>
      <c r="Y10" s="337">
        <f t="shared" ref="Y10:Y12" si="0">SUM(W10:X10)</f>
        <v>37</v>
      </c>
      <c r="Z10" s="338" t="str">
        <f>IF(ISNUMBER(Datos!CC10),Datos!CC10," - ")</f>
        <v xml:space="preserve"> - </v>
      </c>
      <c r="AA10" s="335">
        <f>IF(ISNUMBER(Datos!L10),Datos!L10,"-")</f>
        <v>58</v>
      </c>
      <c r="AB10" s="337">
        <f>IF(ISNUMBER(Datos!R10),Datos!R10," - ")</f>
        <v>85</v>
      </c>
      <c r="AC10" s="337">
        <f t="shared" ref="AC10:AC12" si="1">IF(ISNUMBER(AA10+AB10),AA10+AB10," - ")</f>
        <v>143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19</v>
      </c>
      <c r="AJ10" s="234" t="str">
        <f>IF(ISNUMBER(Datos!BW10),Datos!BW10," - ")</f>
        <v xml:space="preserve"> - </v>
      </c>
      <c r="AK10" s="235" t="str">
        <f>IF(ISNUMBER(Datos!BX10),Datos!BX10," - ")</f>
        <v xml:space="preserve"> - </v>
      </c>
      <c r="AL10" s="246">
        <f>IF(ISNUMBER(NºAsuntos!G10/NºAsuntos!E10),NºAsuntos!G10/NºAsuntos!E10," - ")</f>
        <v>1.2692307692307692</v>
      </c>
      <c r="AM10" s="263">
        <f>IF(ISNUMBER(((NºAsuntos!I10/NºAsuntos!G10)*11)/factor_trimestre),((NºAsuntos!I10/NºAsuntos!G10)*11)/factor_trimestre," - ")</f>
        <v>5.2727272727272725</v>
      </c>
      <c r="AN10" s="247">
        <f>IF(ISNUMBER('Resol  Asuntos'!D10/NºAsuntos!G10),'Resol  Asuntos'!D10/NºAsuntos!G10," - ")</f>
        <v>0.5757575757575758</v>
      </c>
      <c r="AO10" s="248">
        <f>IF(ISNUMBER((NºAsuntos!C10+NºAsuntos!E10)/NºAsuntos!G10),(NºAsuntos!C10+NºAsuntos!E10)/NºAsuntos!G10," - ")</f>
        <v>2.6969696969696968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249</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20</v>
      </c>
      <c r="Y11" s="337">
        <f t="shared" si="0"/>
        <v>20</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184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137</v>
      </c>
      <c r="AJ11" s="234" t="str">
        <f>IF(ISNUMBER(Datos!BW11),Datos!BW11," - ")</f>
        <v xml:space="preserve"> - </v>
      </c>
      <c r="AK11" s="235" t="str">
        <f>IF(ISNUMBER(Datos!BX11),Datos!BX11," - ")</f>
        <v xml:space="preserve"> - </v>
      </c>
      <c r="AL11" s="246">
        <f>IF(ISNUMBER(NºAsuntos!G11/NºAsuntos!E11),NºAsuntos!G11/NºAsuntos!E11," - ")</f>
        <v>1.0875912408759123</v>
      </c>
      <c r="AM11" s="263">
        <f>IF(ISNUMBER(((NºAsuntos!I11/NºAsuntos!G11)*11)/factor_trimestre),((NºAsuntos!I11/NºAsuntos!G11)*11)/factor_trimestre," - ")</f>
        <v>2.8087248322147653</v>
      </c>
      <c r="AN11" s="247">
        <f>IF(ISNUMBER('Resol  Asuntos'!D11/NºAsuntos!G11),'Resol  Asuntos'!D11/NºAsuntos!G11," - ")</f>
        <v>0.45973154362416108</v>
      </c>
      <c r="AO11" s="248">
        <f>IF(ISNUMBER((NºAsuntos!C11+NºAsuntos!E11)/NºAsuntos!G11),(NºAsuntos!C11+NºAsuntos!E11)/NºAsuntos!G11," - ")</f>
        <v>1.936241610738255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65</v>
      </c>
      <c r="G13" s="869">
        <f t="shared" si="3"/>
        <v>63</v>
      </c>
      <c r="H13" s="868">
        <f t="shared" si="3"/>
        <v>0</v>
      </c>
      <c r="I13" s="870">
        <f t="shared" si="3"/>
        <v>0</v>
      </c>
      <c r="J13" s="870">
        <f t="shared" si="3"/>
        <v>0</v>
      </c>
      <c r="K13" s="870">
        <f t="shared" si="3"/>
        <v>0</v>
      </c>
      <c r="L13" s="870">
        <f t="shared" si="3"/>
        <v>660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33</v>
      </c>
      <c r="X13" s="870">
        <f t="shared" si="4"/>
        <v>720</v>
      </c>
      <c r="Y13" s="871">
        <f t="shared" si="4"/>
        <v>753</v>
      </c>
      <c r="Z13" s="871">
        <f t="shared" si="4"/>
        <v>0</v>
      </c>
      <c r="AA13" s="871">
        <f t="shared" si="4"/>
        <v>58</v>
      </c>
      <c r="AB13" s="871">
        <f t="shared" si="4"/>
        <v>9474</v>
      </c>
      <c r="AC13" s="871">
        <f t="shared" si="4"/>
        <v>143</v>
      </c>
      <c r="AD13" s="871">
        <f t="shared" si="4"/>
        <v>0</v>
      </c>
      <c r="AE13" s="875">
        <f t="shared" si="4"/>
        <v>0</v>
      </c>
      <c r="AF13" s="868">
        <f t="shared" si="4"/>
        <v>0</v>
      </c>
      <c r="AG13" s="876">
        <f t="shared" si="4"/>
        <v>0</v>
      </c>
      <c r="AH13" s="873">
        <f t="shared" si="4"/>
        <v>0</v>
      </c>
      <c r="AI13" s="868">
        <f t="shared" si="4"/>
        <v>773</v>
      </c>
      <c r="AJ13" s="870">
        <f t="shared" si="4"/>
        <v>0</v>
      </c>
      <c r="AK13" s="873">
        <f>SUBTOTAL(9,AK9:AK12)</f>
        <v>0</v>
      </c>
      <c r="AL13" s="877">
        <f>IF(ISNUMBER(NºAsuntos!G13/NºAsuntos!E13),NºAsuntos!G13/NºAsuntos!E13," - ")</f>
        <v>1.2379265936896329</v>
      </c>
      <c r="AM13" s="877">
        <f>IF(ISNUMBER(((NºAsuntos!I13/NºAsuntos!G13)*11)/factor_trimestre),((NºAsuntos!I13/NºAsuntos!G13)*11)/factor_trimestre," - ")</f>
        <v>3.2395318595578679</v>
      </c>
      <c r="AN13" s="878">
        <f>IF(ISNUMBER('Resol  Asuntos'!D13/NºAsuntos!G13),'Resol  Asuntos'!D13/NºAsuntos!G13," - ")</f>
        <v>0.20104031209362808</v>
      </c>
      <c r="AO13" s="879">
        <f>IF(ISNUMBER((NºAsuntos!C13+NºAsuntos!E13)/NºAsuntos!G13),(NºAsuntos!C13+NºAsuntos!E13)/NºAsuntos!G13," - ")</f>
        <v>1.9648894668400521</v>
      </c>
      <c r="AP13" s="880" t="str">
        <f t="shared" si="2"/>
        <v xml:space="preserve"> - </v>
      </c>
      <c r="AQ13" s="880">
        <f>IF(ISNUMBER((H13-W13+K13)/(F13)),(H13-W13+K13)/(F13)," - ")</f>
        <v>-0.50769230769230766</v>
      </c>
      <c r="AR13" s="881">
        <f>IF(ISNUMBER((Datos!P13-Datos!Q13)/(Datos!R13-Datos!P13+Datos!Q13)),(Datos!P13-Datos!Q13)/(Datos!R13-Datos!P13+Datos!Q13)," - ")</f>
        <v>-6.2932662051604785E-3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400</v>
      </c>
      <c r="C15" s="163" t="str">
        <f>Datos!A15</f>
        <v xml:space="preserve">Jdos. Instrucción                               </v>
      </c>
      <c r="D15" s="163"/>
      <c r="E15" s="1028">
        <f>IF(ISNUMBER(Datos!AQ15),Datos!AQ15," - ")</f>
        <v>6</v>
      </c>
      <c r="F15" s="228">
        <f>IF(ISNUMBER(AA15+W15-Datos!J15-K15),AA15+W15-Datos!J15-K15," - ")</f>
        <v>1744</v>
      </c>
      <c r="G15" s="336">
        <f>IF(ISNUMBER(IF(D_I="SI",Datos!I15,Datos!I15+Datos!AC15)),IF(D_I="SI",Datos!I15,Datos!I15+Datos!AC15)," - ")</f>
        <v>1715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94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2203</v>
      </c>
      <c r="X15" s="229">
        <f>IF(ISNUMBER(Datos!Q15),Datos!Q15," - ")</f>
        <v>146</v>
      </c>
      <c r="Y15" s="337">
        <f>SUM(W15)</f>
        <v>2203</v>
      </c>
      <c r="Z15" s="338" t="str">
        <f>IF(ISNUMBER(Datos!CC15),Datos!CC15," - ")</f>
        <v xml:space="preserve"> - </v>
      </c>
      <c r="AA15" s="335">
        <f>IF(ISNUMBER(IF(D_I="SI",Datos!L15,Datos!L15+Datos!AF15)),IF(D_I="SI",Datos!L15,Datos!L15+Datos!AF15)," - ")</f>
        <v>1684</v>
      </c>
      <c r="AB15" s="337">
        <f>IF(ISNUMBER(Datos!R15),Datos!R15," - ")</f>
        <v>324</v>
      </c>
      <c r="AC15" s="337">
        <f t="shared" ref="AC15:AC17" si="6">IF(ISNUMBER(AA15+AB15),AA15+AB15," - ")</f>
        <v>2008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320</v>
      </c>
      <c r="AJ15" s="234" t="str">
        <f>IF(ISNUMBER(Datos!BW15),Datos!BW15," - ")</f>
        <v xml:space="preserve"> - </v>
      </c>
      <c r="AK15" s="235" t="str">
        <f>IF(ISNUMBER(Datos!BX15),Datos!BX15," - ")</f>
        <v xml:space="preserve"> - </v>
      </c>
      <c r="AL15" s="246">
        <f>IF(ISNUMBER(NºAsuntos!G15/NºAsuntos!E15),NºAsuntos!G15/NºAsuntos!E15," - ")</f>
        <v>1.0279981334577695</v>
      </c>
      <c r="AM15" s="263">
        <f>IF(ISNUMBER(((NºAsuntos!I15/NºAsuntos!G15)*11)/factor_trimestre),((NºAsuntos!I15/NºAsuntos!G15)*11)/factor_trimestre," - ")</f>
        <v>2.2932364956876987</v>
      </c>
      <c r="AN15" s="247">
        <f>IF(ISNUMBER('Resol  Asuntos'!D15/NºAsuntos!G15),'Resol  Asuntos'!D15/NºAsuntos!G15," - ")</f>
        <v>0.14525646845211077</v>
      </c>
      <c r="AO15" s="248">
        <f>IF(ISNUMBER((NºAsuntos!C15+NºAsuntos!E15)/NºAsuntos!G15),(NºAsuntos!C15+NºAsuntos!E15)/NºAsuntos!G15," - ")</f>
        <v>1.7512482977757604</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106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316</v>
      </c>
      <c r="X17" s="229">
        <f>IF(ISNUMBER(Datos!Q17),Datos!Q17," - ")</f>
        <v>2</v>
      </c>
      <c r="Y17" s="337">
        <f t="shared" si="7"/>
        <v>318</v>
      </c>
      <c r="Z17" s="338" t="str">
        <f>IF(ISNUMBER(Datos!CC17),Datos!CC17," - ")</f>
        <v xml:space="preserve"> - </v>
      </c>
      <c r="AA17" s="335">
        <f>IF(ISNUMBER(Datos!L17),Datos!L17,"-")</f>
        <v>92</v>
      </c>
      <c r="AB17" s="337">
        <f>IF(ISNUMBER(Datos!R17),Datos!R17," - ")</f>
        <v>0</v>
      </c>
      <c r="AC17" s="337">
        <f t="shared" si="6"/>
        <v>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1.0326797385620916</v>
      </c>
      <c r="AM17" s="263">
        <f>IF(ISNUMBER(((NºAsuntos!I17/NºAsuntos!G17)*11)/factor_trimestre),((NºAsuntos!I17/NºAsuntos!G17)*11)/factor_trimestre," - ")</f>
        <v>0.87341772151898744</v>
      </c>
      <c r="AN17" s="247">
        <f>IF(ISNUMBER('Resol  Asuntos'!D17/NºAsuntos!G17),'Resol  Asuntos'!D17/NºAsuntos!G17," - ")</f>
        <v>2.5316455696202531E-2</v>
      </c>
      <c r="AO17" s="248">
        <f>IF(ISNUMBER((NºAsuntos!C17+NºAsuntos!E17)/NºAsuntos!G17),(NºAsuntos!C17+NºAsuntos!E17)/NºAsuntos!G17," - ")</f>
        <v>1.3037974683544304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1744</v>
      </c>
      <c r="G18" s="869">
        <f>SUBTOTAL(9,G15:G17)</f>
        <v>1821</v>
      </c>
      <c r="H18" s="868">
        <f t="shared" ref="H18:O18" si="10">SUBTOTAL(9,H14:H17)</f>
        <v>0</v>
      </c>
      <c r="I18" s="870">
        <f t="shared" si="10"/>
        <v>0</v>
      </c>
      <c r="J18" s="870">
        <f t="shared" si="10"/>
        <v>0</v>
      </c>
      <c r="K18" s="870">
        <f t="shared" si="10"/>
        <v>0</v>
      </c>
      <c r="L18" s="870">
        <f t="shared" si="10"/>
        <v>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2519</v>
      </c>
      <c r="X18" s="870">
        <f t="shared" si="11"/>
        <v>148</v>
      </c>
      <c r="Y18" s="871">
        <f t="shared" si="11"/>
        <v>2521</v>
      </c>
      <c r="Z18" s="871">
        <f t="shared" si="11"/>
        <v>0</v>
      </c>
      <c r="AA18" s="871">
        <f t="shared" si="11"/>
        <v>1776</v>
      </c>
      <c r="AB18" s="871">
        <f t="shared" si="11"/>
        <v>324</v>
      </c>
      <c r="AC18" s="871">
        <f t="shared" si="11"/>
        <v>2100</v>
      </c>
      <c r="AD18" s="871">
        <f t="shared" si="11"/>
        <v>0</v>
      </c>
      <c r="AE18" s="875">
        <f t="shared" si="11"/>
        <v>0</v>
      </c>
      <c r="AF18" s="868">
        <f t="shared" si="11"/>
        <v>0</v>
      </c>
      <c r="AG18" s="876">
        <f t="shared" si="11"/>
        <v>0</v>
      </c>
      <c r="AH18" s="873">
        <f t="shared" si="11"/>
        <v>0</v>
      </c>
      <c r="AI18" s="868">
        <f t="shared" si="11"/>
        <v>328</v>
      </c>
      <c r="AJ18" s="870">
        <f t="shared" si="11"/>
        <v>0</v>
      </c>
      <c r="AK18" s="873">
        <f t="shared" si="11"/>
        <v>0</v>
      </c>
      <c r="AL18" s="877">
        <f>IF(ISNUMBER(NºAsuntos!G18/NºAsuntos!E18),NºAsuntos!G18/NºAsuntos!E18," - ")</f>
        <v>1.0285830951408739</v>
      </c>
      <c r="AM18" s="877">
        <f>IF(ISNUMBER(((NºAsuntos!I18/NºAsuntos!G18)*11)/factor_trimestre),((NºAsuntos!I18/NºAsuntos!G18)*11)/factor_trimestre," - ")</f>
        <v>2.1151250496228662</v>
      </c>
      <c r="AN18" s="878">
        <f>IF(ISNUMBER('Resol  Asuntos'!D18/NºAsuntos!G18),'Resol  Asuntos'!D18/NºAsuntos!G18," - ")</f>
        <v>0.13021040095275904</v>
      </c>
      <c r="AO18" s="879">
        <f>IF(ISNUMBER((NºAsuntos!C18+NºAsuntos!E18)/NºAsuntos!G18),(NºAsuntos!C18+NºAsuntos!E18)/NºAsuntos!G18," - ")</f>
        <v>1.6951171099642715</v>
      </c>
      <c r="AP18" s="880" t="str">
        <f t="shared" si="2"/>
        <v xml:space="preserve"> - </v>
      </c>
      <c r="AQ18" s="880">
        <f>IF(ISNUMBER((H18-W18+K18)/(F18)),(H18-W18+K18)/(F18)," - ")</f>
        <v>-1.4443807339449541</v>
      </c>
      <c r="AR18" s="881">
        <f>IF(ISNUMBER((Datos!P18-Datos!Q18)/(Datos!R18-Datos!P18+Datos!Q18)),(Datos!P18-Datos!Q18)/(Datos!R18-Datos!P18+Datos!Q18)," - ")</f>
        <v>-0.13829787234042554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1809</v>
      </c>
      <c r="G19" s="824">
        <f t="shared" si="13"/>
        <v>1884</v>
      </c>
      <c r="H19" s="823">
        <f t="shared" si="13"/>
        <v>0</v>
      </c>
      <c r="I19" s="825">
        <f t="shared" si="13"/>
        <v>0</v>
      </c>
      <c r="J19" s="825">
        <f t="shared" si="13"/>
        <v>0</v>
      </c>
      <c r="K19" s="884">
        <f t="shared" si="13"/>
        <v>0</v>
      </c>
      <c r="L19" s="825">
        <f t="shared" si="13"/>
        <v>756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2552</v>
      </c>
      <c r="X19" s="824">
        <f t="shared" si="14"/>
        <v>868</v>
      </c>
      <c r="Y19" s="831">
        <f t="shared" si="14"/>
        <v>3274</v>
      </c>
      <c r="Z19" s="831">
        <f t="shared" si="14"/>
        <v>0</v>
      </c>
      <c r="AA19" s="831">
        <f t="shared" si="14"/>
        <v>1834</v>
      </c>
      <c r="AB19" s="831">
        <f t="shared" si="14"/>
        <v>9798</v>
      </c>
      <c r="AC19" s="831">
        <f t="shared" si="14"/>
        <v>2243</v>
      </c>
      <c r="AD19" s="831">
        <f t="shared" si="14"/>
        <v>0</v>
      </c>
      <c r="AE19" s="833">
        <f t="shared" si="14"/>
        <v>0</v>
      </c>
      <c r="AF19" s="834">
        <f t="shared" si="14"/>
        <v>0</v>
      </c>
      <c r="AG19" s="835">
        <f t="shared" si="14"/>
        <v>0</v>
      </c>
      <c r="AH19" s="833">
        <f t="shared" si="14"/>
        <v>0</v>
      </c>
      <c r="AI19" s="823">
        <f t="shared" si="14"/>
        <v>1101</v>
      </c>
      <c r="AJ19" s="823">
        <f t="shared" si="14"/>
        <v>0</v>
      </c>
      <c r="AK19" s="833">
        <f t="shared" si="14"/>
        <v>0</v>
      </c>
      <c r="AL19" s="887">
        <f>IF(ISNUMBER(NºAsuntos!G19/NºAsuntos!E19),NºAsuntos!G19/NºAsuntos!E19," - ")</f>
        <v>1.1456345634563456</v>
      </c>
      <c r="AM19" s="888">
        <f>IF(ISNUMBER(((NºAsuntos!I19/NºAsuntos!G19)*11)/factor_trimestre),((NºAsuntos!I19/NºAsuntos!G19)*11)/factor_trimestre," - ")</f>
        <v>2.7944688874921435</v>
      </c>
      <c r="AN19" s="888">
        <f>IF(ISNUMBER('Resol  Asuntos'!D19/NºAsuntos!G19),'Resol  Asuntos'!D19/NºAsuntos!G19," - ")</f>
        <v>0.17300439974858581</v>
      </c>
      <c r="AO19" s="889">
        <f>IF(ISNUMBER((NºAsuntos!C19+NºAsuntos!E19)/NºAsuntos!G19),(NºAsuntos!C19+NºAsuntos!E19)/NºAsuntos!G19," - ")</f>
        <v>1.8581081081081081</v>
      </c>
      <c r="AP19" s="890" t="str">
        <f t="shared" si="2"/>
        <v xml:space="preserve"> - </v>
      </c>
      <c r="AQ19" s="891">
        <f>IF(OR(ISNUMBER(FIND("01",Criterios!A8,1)),ISNUMBER(FIND("02",Criterios!A8,1)),ISNUMBER(FIND("03",Criterios!A8,1)),ISNUMBER(FIND("04",Criterios!A8,1))),(I19-W19+K19)/(F19-K19),(H19-W19+K19)/(F19-K19))</f>
        <v>-1.4107241569928137</v>
      </c>
      <c r="AR19" s="892">
        <f>IF(ISNUMBER((Datos!P19-Datos!Q19)/(Datos!R19-Datos!P19+Datos!Q19)),(Datos!P19-Datos!Q19)/(Datos!R19-Datos!P19+Datos!Q19)," - ")</f>
        <v>-1.1301715438950555E-2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753.6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3.3166247903553998</v>
      </c>
      <c r="F21" s="255">
        <f>IF(ISNUMBER(STDEV(F8:F18)),STDEV(F8:F18),"-")</f>
        <v>969.3711019693817</v>
      </c>
      <c r="G21" s="256">
        <f>IF(ISNUMBER(STDEV(G8:G18)),STDEV(G8:G18),"-")</f>
        <v>926.94055904356674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1233.9409224107935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292.89068332904066</v>
      </c>
      <c r="AJ21" s="255">
        <f t="shared" si="18"/>
        <v>0</v>
      </c>
      <c r="AK21" s="257">
        <f t="shared" si="18"/>
        <v>0</v>
      </c>
      <c r="AL21" s="252">
        <f t="shared" si="18"/>
        <v>0.11391164059617209</v>
      </c>
      <c r="AM21" s="253">
        <f t="shared" si="18"/>
        <v>1.3505809110887832</v>
      </c>
      <c r="AN21" s="253">
        <f t="shared" si="18"/>
        <v>0.19733515584263919</v>
      </c>
      <c r="AO21" s="254">
        <f t="shared" si="18"/>
        <v>0.42108767088014071</v>
      </c>
      <c r="AP21" s="294" t="str">
        <f t="shared" si="18"/>
        <v>-</v>
      </c>
      <c r="AQ21" s="295">
        <f t="shared" si="18"/>
        <v>0.66233873806220156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Y3AdfbhY35LzFlCOXNKaSRJxVjp8YF4Ezzr9iRSUjiZ/37ks71CyHutVmhBJmCytrCWQl/QHjjlvgywjWLgEQ==" saltValue="H+sYuAIPO+elK1+fdxc9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FUENLABRADA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0.55025125628140703</v>
      </c>
      <c r="I9" s="353">
        <f>IF(ISNUMBER((Tasas!C9-Datos!BE9)/Datos!BE9),(Tasas!C9-Datos!BE9)/Datos!BE9," - ")</f>
        <v>1.9835629754549243E-2</v>
      </c>
      <c r="J9" s="352">
        <f>IF(ISNUMBER((Tasas!D9-Datos!BF9)/Datos!BF9),(Tasas!D9-Datos!BF9)/Datos!BF9," - ")</f>
        <v>-0.65942185456646696</v>
      </c>
      <c r="K9" s="354">
        <f>IF(ISNUMBER((Tasas!E9-Datos!BG9)/Datos!BG9),(Tasas!E9-Datos!BG9)/Datos!BG9," - ")</f>
        <v>-5.0964365058341621E-2</v>
      </c>
      <c r="M9" t="e">
        <f>IF(Monitorios="SI",Datos!CE9,0)</f>
        <v>#REF!</v>
      </c>
      <c r="N9" t="e">
        <f>IF(Monitorios="SI",Datos!CF9,0)</f>
        <v>#REF!</v>
      </c>
      <c r="O9" t="e">
        <f>IF(Monitorios="SI",Datos!CG9,0)</f>
        <v>#REF!</v>
      </c>
      <c r="P9" t="e">
        <f>IF(Monitorios="SI",Datos!CH9,0)</f>
        <v>#REF!</v>
      </c>
      <c r="Q9">
        <f>IF(J_V="SI",0,Datos!AG9)</f>
        <v>140</v>
      </c>
      <c r="R9">
        <f>IF(J_V="SI",0,Datos!AH9)</f>
        <v>201</v>
      </c>
      <c r="S9">
        <f>IF(J_V="SI",0,Datos!AI9)</f>
        <v>182</v>
      </c>
      <c r="T9">
        <f>IF(J_V="SI",0,Datos!AJ9)</f>
        <v>159</v>
      </c>
    </row>
    <row r="10" spans="2:20" ht="14.25">
      <c r="B10" s="278" t="s">
        <v>249</v>
      </c>
      <c r="C10" s="7" t="str">
        <f>Datos!A10</f>
        <v>Jdos. Violencia contra la mujer</v>
      </c>
      <c r="D10" s="355">
        <f>IF(ISNUMBER((Datos!I10-Datos!S10)/Datos!S10),(Datos!I10-Datos!S10)/Datos!S10," - ")</f>
        <v>0.53658536585365857</v>
      </c>
      <c r="E10" s="351">
        <f>IF(ISNUMBER((Datos!J10-Datos!T10)/Datos!T10),(Datos!J10-Datos!T10)/Datos!T10," - ")</f>
        <v>0.13043478260869565</v>
      </c>
      <c r="F10" s="351">
        <f>IF(ISNUMBER((Datos!K10-Datos!U10)/Datos!U10),(Datos!K10-Datos!U10)/Datos!U10," - ")</f>
        <v>0.22222222222222221</v>
      </c>
      <c r="G10" s="352">
        <f>IF(ISNUMBER((Datos!L10-Datos!V10)/Datos!V10),(Datos!L10-Datos!V10)/Datos!V10," - ")</f>
        <v>0.87096774193548387</v>
      </c>
      <c r="H10" s="233">
        <f>IF(ISNUMBER((Datos!M10-Datos!W10)/Datos!W10),(Datos!M10-Datos!W10)/Datos!W10," - ")</f>
        <v>0.72727272727272729</v>
      </c>
      <c r="I10" s="353">
        <f>IF(ISNUMBER((Tasas!C10-Datos!BE10)/Datos!BE10),(Tasas!C10-Datos!BE10)/Datos!BE10," - ")</f>
        <v>0.53079178885630496</v>
      </c>
      <c r="J10" s="352">
        <f>IF(ISNUMBER((Tasas!D10-Datos!BF10)/Datos!BF10),(Tasas!D10-Datos!BF10)/Datos!BF10," - ")</f>
        <v>0.41322314049586795</v>
      </c>
      <c r="K10" s="354">
        <f>IF(ISNUMBER((Tasas!E10-Datos!BG10)/Datos!BG10),(Tasas!E10-Datos!BG10)/Datos!BG10," - ")</f>
        <v>0.13778409090909091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0.11382113821138211</v>
      </c>
      <c r="I11" s="353">
        <f>IF(ISNUMBER((Tasas!C11-Datos!BE11)/Datos!BE11),(Tasas!C11-Datos!BE11)/Datos!BE11," - ")</f>
        <v>3.7274878084109904E-2</v>
      </c>
      <c r="J11" s="352">
        <f>IF(ISNUMBER((Tasas!D11-Datos!BF11)/Datos!BF11),(Tasas!D11-Datos!BF11)/Datos!BF11," - ")</f>
        <v>8.089553768123367E-2</v>
      </c>
      <c r="K11" s="354">
        <f>IF(ISNUMBER((Tasas!E11-Datos!BG11)/Datos!BG11),(Tasas!E11-Datos!BG11)/Datos!BG11," - ")</f>
        <v>1.7683303937512832E-2</v>
      </c>
      <c r="M11" t="e">
        <f>IF(Monitorios="SI",Datos!CE11,0)</f>
        <v>#REF!</v>
      </c>
      <c r="N11" t="e">
        <f>IF(Monitorios="SI",Datos!CF11,0)</f>
        <v>#REF!</v>
      </c>
      <c r="O11" t="e">
        <f>IF(Monitorios="SI",Datos!CG11,0)</f>
        <v>#REF!</v>
      </c>
      <c r="P11" t="e">
        <f>IF(Monitorios="SI",Datos!CH11,0)</f>
        <v>#REF!</v>
      </c>
      <c r="Q11">
        <f>IF(J_V="SI",0,Datos!AG11)</f>
        <v>5</v>
      </c>
      <c r="R11">
        <f>IF(J_V="SI",0,Datos!AH11)</f>
        <v>18</v>
      </c>
      <c r="S11">
        <f>IF(J_V="SI",0,Datos!AI11)</f>
        <v>16</v>
      </c>
      <c r="T11">
        <f>IF(J_V="SI",0,Datos!AJ11)</f>
        <v>7</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0.45300751879699247</v>
      </c>
      <c r="I13" s="360">
        <f>IF(ISNUMBER((Tasas!C13-Datos!BE13)/Datos!BE13),(Tasas!C13-Datos!BE13)/Datos!BE13," - ")</f>
        <v>3.0401861102458159E-2</v>
      </c>
      <c r="J13" s="358">
        <f>IF(ISNUMBER((Tasas!D13-Datos!BF13)/Datos!BF13),(Tasas!D13-Datos!BF13)/Datos!BF13," - ")</f>
        <v>-0.60179618623879183</v>
      </c>
      <c r="K13" s="361">
        <f>IF(ISNUMBER((Tasas!E13-Datos!BG13)/Datos!BG13),(Tasas!E13-Datos!BG13)/Datos!BG13," - ")</f>
        <v>-4.2037276380405282E-2</v>
      </c>
      <c r="M13" t="e">
        <f>IF(Monitorios="SI",Datos!CE13,0)</f>
        <v>#REF!</v>
      </c>
      <c r="N13" t="e">
        <f>IF(Monitorios="SI",Datos!CF13,0)</f>
        <v>#REF!</v>
      </c>
      <c r="O13" t="e">
        <f>IF(Monitorios="SI",Datos!CG13,0)</f>
        <v>#REF!</v>
      </c>
      <c r="P13" t="e">
        <f>IF(Monitorios="SI",Datos!CH13,0)</f>
        <v>#REF!</v>
      </c>
      <c r="Q13">
        <f>IF(J_V="SI",0,Datos!AG13)</f>
        <v>145</v>
      </c>
      <c r="R13">
        <f>IF(J_V="SI",0,Datos!AH13)</f>
        <v>219</v>
      </c>
      <c r="S13">
        <f>IF(J_V="SI",0,Datos!AI13)</f>
        <v>198</v>
      </c>
      <c r="T13">
        <f>IF(J_V="SI",0,Datos!AJ13)</f>
        <v>166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0.16825613079019072</v>
      </c>
      <c r="E15" s="351">
        <f>IF(ISNUMBER(
   IF(D_I="SI",(Datos!J15-Datos!T15)/Datos!T15,(Datos!J15+Datos!AD15-(Datos!T15+Datos!AL15))/(Datos!T15+Datos!AL15))
     ),IF(D_I="SI",(Datos!J15-Datos!T15)/Datos!T15,(Datos!J15+Datos!AD15-(Datos!T15+Datos!AL15))/(Datos!T15+Datos!AL15))," - ")</f>
        <v>-1.3805798435342844E-2</v>
      </c>
      <c r="F15" s="351">
        <f>IF(ISNUMBER(
   IF(D_I="SI",(Datos!K15-Datos!U15)/Datos!U15,(Datos!K15+Datos!AE15-(Datos!U15+Datos!AM15))/(Datos!U15+Datos!AM15))
     ),IF(D_I="SI",(Datos!K15-Datos!U15)/Datos!U15,(Datos!K15+Datos!AE15-(Datos!U15+Datos!AM15))/(Datos!U15+Datos!AM15))," - ")</f>
        <v>-1.2550425818018825E-2</v>
      </c>
      <c r="G15" s="352">
        <f>IF(ISNUMBER(
   IF(D_I="SI",(Datos!L15-Datos!V15)/Datos!V15,(Datos!L15+Datos!AF15-(Datos!V15+Datos!AN15))/(Datos!V15+Datos!AN15))
     ),IF(D_I="SI",(Datos!L15-Datos!V15)/Datos!V15,(Datos!L15+Datos!AF15-(Datos!V15+Datos!AN15))/(Datos!V15+Datos!AN15))," - ")</f>
        <v>0.16782246879334259</v>
      </c>
      <c r="H15" s="233">
        <f>IF(ISNUMBER((Datos!M15-Datos!W15)/Datos!W15),(Datos!M15-Datos!W15)/Datos!W15," - ")</f>
        <v>0.32780082987551867</v>
      </c>
      <c r="I15" s="353">
        <f>IF(ISNUMBER((Tasas!C15-Datos!BE15)/Datos!BE15),(Tasas!C15-Datos!BE15)/Datos!BE15," - ")</f>
        <v>0.18266542345798792</v>
      </c>
      <c r="J15" s="352">
        <f>IF(ISNUMBER((Tasas!D15-Datos!BF15)/Datos!BF15),(Tasas!D15-Datos!BF15)/Datos!BF15," - ")</f>
        <v>0.34467710006912494</v>
      </c>
      <c r="K15" s="354">
        <f>IF(ISNUMBER((Tasas!E15-Datos!BG15)/Datos!BG15),(Tasas!E15-Datos!BG15)/Datos!BG15," - ")</f>
        <v>7.3066452166361248E-2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0.70967741935483875</v>
      </c>
      <c r="E17" s="351">
        <f>IF(ISNUMBER(
   IF(D_I="SI",(Datos!J17-Datos!T17)/Datos!T17,(Datos!J17+Datos!AD17-(Datos!T17+Datos!AL17))/(Datos!T17+Datos!AL17))
     ),IF(D_I="SI",(Datos!J17-Datos!T17)/Datos!T17,(Datos!J17+Datos!AD17-(Datos!T17+Datos!AL17))/(Datos!T17+Datos!AL17))," - ")</f>
        <v>0.46411483253588515</v>
      </c>
      <c r="F17" s="351">
        <f>IF(ISNUMBER(
   IF(D_I="SI",(Datos!K17-Datos!U17)/Datos!U17,(Datos!K17+Datos!AE17-(Datos!U17+Datos!AM17))/(Datos!U17+Datos!AM17))
     ),IF(D_I="SI",(Datos!K17-Datos!U17)/Datos!U17,(Datos!K17+Datos!AE17-(Datos!U17+Datos!AM17))/(Datos!U17+Datos!AM17))," - ")</f>
        <v>0.54146341463414638</v>
      </c>
      <c r="G17" s="352">
        <f>IF(ISNUMBER(
   IF(D_I="SI",(Datos!L17-Datos!V17)/Datos!V17,(Datos!L17+Datos!AF17-(Datos!V17+Datos!AN17))/(Datos!V17+Datos!AN17))
     ),IF(D_I="SI",(Datos!L17-Datos!V17)/Datos!V17,(Datos!L17+Datos!AF17-(Datos!V17+Datos!AN17))/(Datos!V17+Datos!AN17))," - ")</f>
        <v>0.39393939393939392</v>
      </c>
      <c r="H17" s="233">
        <f>IF(ISNUMBER((Datos!M17-Datos!W17)/Datos!W17),(Datos!M17-Datos!W17)/Datos!W17," - ")</f>
        <v>-0.33333333333333331</v>
      </c>
      <c r="I17" s="353">
        <f>IF(ISNUMBER((Tasas!C17-Datos!BE17)/Datos!BE17),(Tasas!C17-Datos!BE17)/Datos!BE17," - ")</f>
        <v>-9.5703874184886878E-2</v>
      </c>
      <c r="J17" s="352">
        <f>IF(ISNUMBER((Tasas!D17-Datos!BF17)/Datos!BF17),(Tasas!D17-Datos!BF17)/Datos!BF17," - ")</f>
        <v>-0.5675105485232067</v>
      </c>
      <c r="K17" s="354">
        <f>IF(ISNUMBER((Tasas!E17-Datos!BG17)/Datos!BG17),(Tasas!E17-Datos!BG17)/Datos!BG17," - ")</f>
        <v>-1.3732542388715026E-2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0.19019607843137254</v>
      </c>
      <c r="E18" s="357">
        <f>IF(ISNUMBER(
   IF(D_I="SI",(Datos!J18-Datos!T18)/Datos!T18,(Datos!J18+Datos!AD18-(Datos!T18+Datos!AL18))/(Datos!T18+Datos!AL18))
     ),IF(D_I="SI",(Datos!J18-Datos!T18)/Datos!T18,(Datos!J18+Datos!AD18-(Datos!T18+Datos!AL18))/(Datos!T18+Datos!AL18))," - ")</f>
        <v>2.8127623845507977E-2</v>
      </c>
      <c r="F18" s="357">
        <f>IF(ISNUMBER(
   IF(D_I="SI",(Datos!K18-Datos!U18)/Datos!U18,(Datos!K18+Datos!AE18-(Datos!U18+Datos!AM18))/(Datos!U18+Datos!AM18))
     ),IF(D_I="SI",(Datos!K18-Datos!U18)/Datos!U18,(Datos!K18+Datos!AE18-(Datos!U18+Datos!AM18))/(Datos!U18+Datos!AM18))," - ")</f>
        <v>3.4072249589490969E-2</v>
      </c>
      <c r="G18" s="358">
        <f>IF(ISNUMBER(
   IF(D_I="SI",(Datos!L18-Datos!V18)/Datos!V18,(Datos!L18+Datos!AF18-(Datos!V18+Datos!AN18))/(Datos!V18+Datos!AN18))
     ),IF(D_I="SI",(Datos!L18-Datos!V18)/Datos!V18,(Datos!L18+Datos!AF18-(Datos!V18+Datos!AN18))/(Datos!V18+Datos!AN18))," - ")</f>
        <v>0.17771883289124668</v>
      </c>
      <c r="H18" s="359">
        <f>IF(ISNUMBER((Datos!M18-Datos!W18)/Datos!W18),(Datos!M18-Datos!W18)/Datos!W18," - ")</f>
        <v>0.29644268774703558</v>
      </c>
      <c r="I18" s="360">
        <f>IF(ISNUMBER((Tasas!C18-Datos!BE18)/Datos!BE18),(Tasas!C18-Datos!BE18)/Datos!BE18," - ")</f>
        <v>0.13891348825846636</v>
      </c>
      <c r="J18" s="358">
        <f>IF(ISNUMBER((Tasas!D18-Datos!BF18)/Datos!BF18),(Tasas!D18-Datos!BF18)/Datos!BF18," - ")</f>
        <v>0.25372544158466809</v>
      </c>
      <c r="K18" s="361">
        <f>IF(ISNUMBER((Tasas!E18-Datos!BG18)/Datos!BG18),(Tasas!E18-Datos!BG18)/Datos!BG18," - ")</f>
        <v>5.5548384425604592E-2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0.35187580853816303</v>
      </c>
      <c r="E19" s="366">
        <f>IF(ISNUMBER(
   IF(J_V="SI",(Datos!J19-Datos!T19)/Datos!T19,(Datos!J19+Datos!Z19-(Datos!T19+Datos!AH19))/(Datos!T19+Datos!AH19))
     ),IF(J_V="SI",(Datos!J19-Datos!T19)/Datos!T19,(Datos!J19+Datos!Z19-(Datos!T19+Datos!AH19))/(Datos!T19+Datos!AH19))," - ")</f>
        <v>7.3844964237386429E-2</v>
      </c>
      <c r="F19" s="366">
        <f>IF(ISNUMBER(
   IF(J_V="SI",(Datos!K19-Datos!U19)/Datos!U19,(Datos!K19+Datos!AA19-(Datos!U19+Datos!AI19))/(Datos!U19+Datos!AI19))
     ),IF(J_V="SI",(Datos!K19-Datos!U19)/Datos!U19,(Datos!K19+Datos!AA19-(Datos!U19+Datos!AI19))/(Datos!U19+Datos!AI19))," - ")</f>
        <v>0.19804216867469879</v>
      </c>
      <c r="G19" s="367">
        <f>IF(ISNUMBER(
   IF(J_V="SI",(Datos!L19-Datos!V19)/Datos!V19,(Datos!L19+Datos!AB19-(Datos!V19+Datos!AJ19))/(Datos!V19+Datos!AJ19))
     ),IF(J_V="SI",(Datos!L19-Datos!V19)/Datos!V19,(Datos!L19+Datos!AB19-(Datos!V19+Datos!AJ19))/(Datos!V19+Datos!AJ19))," - ")</f>
        <v>0.31092436974789917</v>
      </c>
      <c r="H19" s="368">
        <f>IF(ISNUMBER((Datos!M19-Datos!W19)/Datos!W19),(Datos!M19-Datos!W19)/Datos!W19," - ")</f>
        <v>0.40254777070063696</v>
      </c>
      <c r="I19" s="365">
        <f>IF(ISNUMBER((Tasas!C19-Datos!BE19)/Datos!BE19),(Tasas!C19-Datos!BE19)/Datos!BE19," - ")</f>
        <v>9.4222226917165378E-2</v>
      </c>
      <c r="J19" s="366">
        <f>IF(ISNUMBER((Tasas!D19-Datos!BF19)/Datos!BF19),(Tasas!D19-Datos!BF19)/Datos!BF19," - ")</f>
        <v>-0.46099743609120952</v>
      </c>
      <c r="K19" s="367">
        <f>IF(ISNUMBER((Tasas!E19-Datos!BG19)/Datos!BG19),(Tasas!E19-Datos!BG19)/Datos!BG19," - ")</f>
        <v>6.0412058169677738E-3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0.26600314211956183</v>
      </c>
      <c r="E21" s="281">
        <f t="shared" si="1"/>
        <v>0.21657674991160314</v>
      </c>
      <c r="F21" s="281">
        <f t="shared" si="1"/>
        <v>0.25149293413569884</v>
      </c>
      <c r="G21" s="282">
        <f t="shared" si="1"/>
        <v>0.32920883730352668</v>
      </c>
      <c r="H21" s="288">
        <f t="shared" si="1"/>
        <v>0.34277800341073811</v>
      </c>
      <c r="I21" s="280">
        <f t="shared" si="1"/>
        <v>0.2018515992529108</v>
      </c>
      <c r="J21" s="281">
        <f t="shared" si="1"/>
        <v>0.4834100491595662</v>
      </c>
      <c r="K21" s="282">
        <f t="shared" si="1"/>
        <v>6.8045788778860347E-2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45/meE2KCbxTABRfRWEtNZWns5gADjMrbEnBtxUgEESsjrZXTNRzVBI9sI9PD0VqNcP+taJUSLeCdCWB+iZA==" saltValue="j1RrWkOkP+Qy4XOBkU4Ce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